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omments8.xml" ContentType="application/vnd.openxmlformats-officedocument.spreadsheetml.comments+xml"/>
  <Override PartName="/xl/drawings/drawing10.xml" ContentType="application/vnd.openxmlformats-officedocument.drawing+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codeName="ThisWorkbook" defaultThemeVersion="124226"/>
  <mc:AlternateContent xmlns:mc="http://schemas.openxmlformats.org/markup-compatibility/2006">
    <mc:Choice Requires="x15">
      <x15ac:absPath xmlns:x15ac="http://schemas.microsoft.com/office/spreadsheetml/2010/11/ac" url="U:\MyFiles\MyFiles\Design Examples KB\COM - KB Revisions_COMPLETE\Attachment 2 Workbooks_revised-11-2017\"/>
    </mc:Choice>
  </mc:AlternateContent>
  <bookViews>
    <workbookView xWindow="0" yWindow="0" windowWidth="23040" windowHeight="10512" activeTab="1" xr2:uid="{00000000-000D-0000-FFFF-FFFF00000000}"/>
  </bookViews>
  <sheets>
    <sheet name="Instructions" sheetId="15" r:id="rId1"/>
    <sheet name="Summary" sheetId="6" r:id="rId2"/>
    <sheet name="SN1" sheetId="9" r:id="rId3"/>
    <sheet name="SN2" sheetId="86" r:id="rId4"/>
    <sheet name="SN3" sheetId="87" r:id="rId5"/>
    <sheet name="SN4" sheetId="88" r:id="rId6"/>
    <sheet name="SN5" sheetId="95" r:id="rId7"/>
    <sheet name="SN6" sheetId="96" r:id="rId8"/>
    <sheet name="SN7" sheetId="97" r:id="rId9"/>
    <sheet name="SN8" sheetId="98" r:id="rId10"/>
    <sheet name="SN9" sheetId="99" r:id="rId11"/>
    <sheet name="Lookup" sheetId="2" state="hidden" r:id="rId12"/>
  </sheets>
  <definedNames>
    <definedName name="New">Lookup!$A$25:$A$26</definedName>
  </definedNames>
  <calcPr calcId="171027"/>
  <fileRecoveryPr autoRecover="0"/>
</workbook>
</file>

<file path=xl/calcChain.xml><?xml version="1.0" encoding="utf-8"?>
<calcChain xmlns="http://schemas.openxmlformats.org/spreadsheetml/2006/main">
  <c r="E124" i="99" l="1"/>
  <c r="E123" i="99"/>
  <c r="C115" i="99"/>
  <c r="E112" i="99"/>
  <c r="E111" i="99"/>
  <c r="C103" i="99"/>
  <c r="E100" i="99"/>
  <c r="F97" i="99"/>
  <c r="A94" i="99"/>
  <c r="E93" i="99"/>
  <c r="C90" i="99"/>
  <c r="E85" i="99"/>
  <c r="F84" i="99"/>
  <c r="F83" i="99"/>
  <c r="F82" i="99"/>
  <c r="A81" i="99"/>
  <c r="C77" i="99"/>
  <c r="B76" i="99"/>
  <c r="C68" i="99"/>
  <c r="F59" i="99"/>
  <c r="E59" i="99"/>
  <c r="D59" i="99"/>
  <c r="C59" i="99"/>
  <c r="B59" i="99"/>
  <c r="E45" i="99"/>
  <c r="E58" i="99" s="1"/>
  <c r="E60" i="99" s="1"/>
  <c r="E61" i="99" s="1"/>
  <c r="B104" i="99" s="1"/>
  <c r="C104" i="99" s="1"/>
  <c r="F44" i="99"/>
  <c r="E44" i="99"/>
  <c r="D44" i="99"/>
  <c r="G35" i="99"/>
  <c r="E75" i="99" s="1"/>
  <c r="F31" i="99"/>
  <c r="F34" i="99" s="1"/>
  <c r="F28" i="99"/>
  <c r="D45" i="99" s="1"/>
  <c r="D58" i="99" s="1"/>
  <c r="D60" i="99" s="1"/>
  <c r="F27" i="99"/>
  <c r="B69" i="99" s="1"/>
  <c r="B58" i="99" s="1"/>
  <c r="F26" i="99"/>
  <c r="F25" i="99"/>
  <c r="F32" i="99" s="1"/>
  <c r="F24" i="99"/>
  <c r="F18" i="99"/>
  <c r="F35" i="99" s="1"/>
  <c r="F17" i="99"/>
  <c r="F16" i="99"/>
  <c r="F15" i="99"/>
  <c r="F20" i="99" s="1"/>
  <c r="D2" i="99"/>
  <c r="E124" i="98"/>
  <c r="E123" i="98"/>
  <c r="C115" i="98"/>
  <c r="E112" i="98"/>
  <c r="E111" i="98"/>
  <c r="C103" i="98"/>
  <c r="E100" i="98"/>
  <c r="F97" i="98"/>
  <c r="A94" i="98"/>
  <c r="E93" i="98"/>
  <c r="C90" i="98"/>
  <c r="E85" i="98"/>
  <c r="F84" i="98"/>
  <c r="F83" i="98"/>
  <c r="F82" i="98"/>
  <c r="A81" i="98"/>
  <c r="C77" i="98"/>
  <c r="B76" i="98"/>
  <c r="C68" i="98"/>
  <c r="F59" i="98"/>
  <c r="E59" i="98"/>
  <c r="D59" i="98"/>
  <c r="C59" i="98"/>
  <c r="B59" i="98"/>
  <c r="E45" i="98"/>
  <c r="E58" i="98" s="1"/>
  <c r="E60" i="98" s="1"/>
  <c r="E61" i="98" s="1"/>
  <c r="B104" i="98" s="1"/>
  <c r="C104" i="98" s="1"/>
  <c r="F44" i="98"/>
  <c r="E44" i="98"/>
  <c r="D44" i="98"/>
  <c r="F36" i="98"/>
  <c r="G35" i="98"/>
  <c r="E75" i="98" s="1"/>
  <c r="F31" i="98"/>
  <c r="F34" i="98" s="1"/>
  <c r="F28" i="98"/>
  <c r="F27" i="98"/>
  <c r="D45" i="98" s="1"/>
  <c r="D58" i="98" s="1"/>
  <c r="D60" i="98" s="1"/>
  <c r="F26" i="98"/>
  <c r="F32" i="98" s="1"/>
  <c r="F25" i="98"/>
  <c r="F24" i="98"/>
  <c r="A21" i="98"/>
  <c r="F18" i="98"/>
  <c r="F35" i="98" s="1"/>
  <c r="F17" i="98"/>
  <c r="F16" i="98"/>
  <c r="F15" i="98"/>
  <c r="F20" i="98" s="1"/>
  <c r="D2" i="98"/>
  <c r="E124" i="97"/>
  <c r="E123" i="97"/>
  <c r="C115" i="97"/>
  <c r="E112" i="97"/>
  <c r="E111" i="97"/>
  <c r="C103" i="97"/>
  <c r="E100" i="97"/>
  <c r="F97" i="97"/>
  <c r="A94" i="97"/>
  <c r="E93" i="97"/>
  <c r="C90" i="97"/>
  <c r="E85" i="97"/>
  <c r="F84" i="97"/>
  <c r="F83" i="97"/>
  <c r="F82" i="97"/>
  <c r="A81" i="97"/>
  <c r="C77" i="97"/>
  <c r="B76" i="97"/>
  <c r="C68" i="97"/>
  <c r="F59" i="97"/>
  <c r="E59" i="97"/>
  <c r="D59" i="97"/>
  <c r="C59" i="97"/>
  <c r="B59" i="97"/>
  <c r="F44" i="97"/>
  <c r="E44" i="97"/>
  <c r="D44" i="97"/>
  <c r="F36" i="97"/>
  <c r="G35" i="97"/>
  <c r="E75" i="97" s="1"/>
  <c r="F31" i="97"/>
  <c r="F34" i="97" s="1"/>
  <c r="F28" i="97"/>
  <c r="F27" i="97"/>
  <c r="D45" i="97" s="1"/>
  <c r="D58" i="97" s="1"/>
  <c r="D60" i="97" s="1"/>
  <c r="F26" i="97"/>
  <c r="F25" i="97"/>
  <c r="F24" i="97"/>
  <c r="A21" i="97"/>
  <c r="F18" i="97"/>
  <c r="F35" i="97" s="1"/>
  <c r="F17" i="97"/>
  <c r="F16" i="97"/>
  <c r="F15" i="97"/>
  <c r="F20" i="97" s="1"/>
  <c r="D2" i="97"/>
  <c r="E124" i="96"/>
  <c r="E123" i="96"/>
  <c r="C115" i="96"/>
  <c r="E112" i="96"/>
  <c r="E111" i="96"/>
  <c r="C103" i="96"/>
  <c r="E100" i="96"/>
  <c r="F97" i="96"/>
  <c r="A94" i="96"/>
  <c r="E93" i="96"/>
  <c r="C90" i="96"/>
  <c r="E85" i="96"/>
  <c r="F84" i="96"/>
  <c r="F83" i="96"/>
  <c r="F82" i="96"/>
  <c r="A81" i="96"/>
  <c r="C77" i="96"/>
  <c r="B76" i="96"/>
  <c r="C68" i="96"/>
  <c r="F59" i="96"/>
  <c r="E59" i="96"/>
  <c r="D59" i="96"/>
  <c r="C59" i="96"/>
  <c r="B59" i="96"/>
  <c r="F44" i="96"/>
  <c r="E44" i="96"/>
  <c r="D44" i="96"/>
  <c r="F36" i="96"/>
  <c r="F31" i="96"/>
  <c r="F34" i="96" s="1"/>
  <c r="F28" i="96"/>
  <c r="F27" i="96"/>
  <c r="D45" i="96" s="1"/>
  <c r="D58" i="96" s="1"/>
  <c r="D60" i="96" s="1"/>
  <c r="F26" i="96"/>
  <c r="F25" i="96"/>
  <c r="F24" i="96"/>
  <c r="A21" i="96"/>
  <c r="F18" i="96"/>
  <c r="F35" i="96" s="1"/>
  <c r="F17" i="96"/>
  <c r="F16" i="96"/>
  <c r="F15" i="96"/>
  <c r="F20" i="96" s="1"/>
  <c r="D2" i="96"/>
  <c r="E124" i="95"/>
  <c r="E123" i="95"/>
  <c r="C115" i="95"/>
  <c r="E112" i="95"/>
  <c r="E111" i="95"/>
  <c r="C103" i="95"/>
  <c r="E100" i="95"/>
  <c r="F97" i="95"/>
  <c r="A94" i="95"/>
  <c r="E93" i="95"/>
  <c r="C90" i="95"/>
  <c r="E85" i="95"/>
  <c r="F84" i="95"/>
  <c r="F83" i="95"/>
  <c r="F82" i="95"/>
  <c r="A81" i="95"/>
  <c r="C77" i="95"/>
  <c r="B76" i="95"/>
  <c r="C68" i="95"/>
  <c r="F59" i="95"/>
  <c r="E59" i="95"/>
  <c r="D59" i="95"/>
  <c r="C59" i="95"/>
  <c r="B59" i="95"/>
  <c r="E45" i="95"/>
  <c r="E58" i="95" s="1"/>
  <c r="E60" i="95" s="1"/>
  <c r="E61" i="95" s="1"/>
  <c r="B104" i="95" s="1"/>
  <c r="C104" i="95" s="1"/>
  <c r="F44" i="95"/>
  <c r="E44" i="95"/>
  <c r="D44" i="95"/>
  <c r="G36" i="95"/>
  <c r="E76" i="95" s="1"/>
  <c r="G76" i="95" s="1"/>
  <c r="G35" i="95"/>
  <c r="E75" i="95" s="1"/>
  <c r="F34" i="95"/>
  <c r="F31" i="95"/>
  <c r="F28" i="95"/>
  <c r="D45" i="95" s="1"/>
  <c r="D58" i="95" s="1"/>
  <c r="D60" i="95" s="1"/>
  <c r="F27" i="95"/>
  <c r="B75" i="95" s="1"/>
  <c r="B77" i="95" s="1"/>
  <c r="F26" i="95"/>
  <c r="F25" i="95"/>
  <c r="F24" i="95"/>
  <c r="F32" i="95" s="1"/>
  <c r="F18" i="95"/>
  <c r="F35" i="95" s="1"/>
  <c r="F17" i="95"/>
  <c r="F16" i="95"/>
  <c r="F15" i="95"/>
  <c r="F20" i="95" s="1"/>
  <c r="D2" i="95"/>
  <c r="B60" i="99" l="1"/>
  <c r="B61" i="99"/>
  <c r="B70" i="99" s="1"/>
  <c r="C70" i="99" s="1"/>
  <c r="E65" i="99"/>
  <c r="B111" i="99" s="1"/>
  <c r="D65" i="99"/>
  <c r="F65" i="99"/>
  <c r="B123" i="99" s="1"/>
  <c r="D61" i="99"/>
  <c r="B91" i="99" s="1"/>
  <c r="C91" i="99" s="1"/>
  <c r="B92" i="99"/>
  <c r="D64" i="99"/>
  <c r="B100" i="99" s="1"/>
  <c r="D63" i="99"/>
  <c r="A38" i="99"/>
  <c r="C64" i="99"/>
  <c r="C63" i="99"/>
  <c r="G30" i="99"/>
  <c r="G27" i="99"/>
  <c r="E64" i="99"/>
  <c r="B112" i="99" s="1"/>
  <c r="F64" i="99"/>
  <c r="B124" i="99" s="1"/>
  <c r="F63" i="99"/>
  <c r="G29" i="99"/>
  <c r="E63" i="99"/>
  <c r="G31" i="99"/>
  <c r="G28" i="99"/>
  <c r="A21" i="99"/>
  <c r="F36" i="99"/>
  <c r="F45" i="99"/>
  <c r="F58" i="99" s="1"/>
  <c r="F60" i="99" s="1"/>
  <c r="F61" i="99" s="1"/>
  <c r="B116" i="99" s="1"/>
  <c r="C116" i="99" s="1"/>
  <c r="B75" i="99"/>
  <c r="B77" i="99" s="1"/>
  <c r="G36" i="99"/>
  <c r="E76" i="99" s="1"/>
  <c r="G76" i="99" s="1"/>
  <c r="D61" i="98"/>
  <c r="B91" i="98" s="1"/>
  <c r="C91" i="98" s="1"/>
  <c r="B92" i="98"/>
  <c r="E65" i="98"/>
  <c r="B111" i="98" s="1"/>
  <c r="F65" i="98"/>
  <c r="B123" i="98" s="1"/>
  <c r="D65" i="98"/>
  <c r="D64" i="98"/>
  <c r="B100" i="98" s="1"/>
  <c r="D63" i="98"/>
  <c r="A38" i="98"/>
  <c r="G29" i="98"/>
  <c r="E63" i="98"/>
  <c r="C64" i="98"/>
  <c r="C63" i="98"/>
  <c r="G30" i="98"/>
  <c r="G27" i="98"/>
  <c r="F64" i="98"/>
  <c r="B124" i="98" s="1"/>
  <c r="F63" i="98"/>
  <c r="E64" i="98"/>
  <c r="B112" i="98" s="1"/>
  <c r="G31" i="98"/>
  <c r="G28" i="98"/>
  <c r="B75" i="98"/>
  <c r="B77" i="98" s="1"/>
  <c r="G36" i="98"/>
  <c r="E76" i="98" s="1"/>
  <c r="G76" i="98" s="1"/>
  <c r="B69" i="98"/>
  <c r="B58" i="98" s="1"/>
  <c r="F45" i="98"/>
  <c r="F58" i="98" s="1"/>
  <c r="F60" i="98" s="1"/>
  <c r="F61" i="98" s="1"/>
  <c r="B116" i="98" s="1"/>
  <c r="C116" i="98" s="1"/>
  <c r="D61" i="97"/>
  <c r="B91" i="97" s="1"/>
  <c r="C91" i="97" s="1"/>
  <c r="B92" i="97"/>
  <c r="E65" i="97"/>
  <c r="B111" i="97" s="1"/>
  <c r="D65" i="97"/>
  <c r="F65" i="97"/>
  <c r="B123" i="97" s="1"/>
  <c r="E45" i="97"/>
  <c r="E58" i="97" s="1"/>
  <c r="E60" i="97" s="1"/>
  <c r="E61" i="97" s="1"/>
  <c r="B104" i="97" s="1"/>
  <c r="C104" i="97" s="1"/>
  <c r="F45" i="97"/>
  <c r="F58" i="97" s="1"/>
  <c r="F60" i="97" s="1"/>
  <c r="F61" i="97" s="1"/>
  <c r="B116" i="97" s="1"/>
  <c r="C116" i="97" s="1"/>
  <c r="B75" i="97"/>
  <c r="B77" i="97" s="1"/>
  <c r="G36" i="97"/>
  <c r="E76" i="97" s="1"/>
  <c r="G76" i="97" s="1"/>
  <c r="B69" i="97"/>
  <c r="B58" i="97" s="1"/>
  <c r="F32" i="97"/>
  <c r="D61" i="96"/>
  <c r="B91" i="96" s="1"/>
  <c r="C91" i="96" s="1"/>
  <c r="B92" i="96"/>
  <c r="E65" i="96"/>
  <c r="B111" i="96" s="1"/>
  <c r="D65" i="96"/>
  <c r="F65" i="96"/>
  <c r="B123" i="96" s="1"/>
  <c r="F32" i="96"/>
  <c r="G35" i="96"/>
  <c r="E75" i="96" s="1"/>
  <c r="E45" i="96"/>
  <c r="E58" i="96" s="1"/>
  <c r="E60" i="96" s="1"/>
  <c r="E61" i="96" s="1"/>
  <c r="B104" i="96" s="1"/>
  <c r="C104" i="96" s="1"/>
  <c r="F45" i="96"/>
  <c r="F58" i="96" s="1"/>
  <c r="F60" i="96" s="1"/>
  <c r="F61" i="96" s="1"/>
  <c r="B116" i="96" s="1"/>
  <c r="C116" i="96" s="1"/>
  <c r="B75" i="96"/>
  <c r="B77" i="96" s="1"/>
  <c r="G36" i="96"/>
  <c r="E76" i="96" s="1"/>
  <c r="G76" i="96" s="1"/>
  <c r="B69" i="96"/>
  <c r="B58" i="96" s="1"/>
  <c r="E65" i="95"/>
  <c r="B111" i="95" s="1"/>
  <c r="D65" i="95"/>
  <c r="F65" i="95"/>
  <c r="B123" i="95" s="1"/>
  <c r="D64" i="95"/>
  <c r="B100" i="95" s="1"/>
  <c r="D63" i="95"/>
  <c r="A38" i="95"/>
  <c r="G30" i="95"/>
  <c r="G27" i="95"/>
  <c r="C64" i="95"/>
  <c r="C63" i="95"/>
  <c r="G31" i="95"/>
  <c r="G28" i="95"/>
  <c r="F64" i="95"/>
  <c r="B124" i="95" s="1"/>
  <c r="F63" i="95"/>
  <c r="G29" i="95"/>
  <c r="E64" i="95"/>
  <c r="B112" i="95" s="1"/>
  <c r="E63" i="95"/>
  <c r="D61" i="95"/>
  <c r="B91" i="95" s="1"/>
  <c r="C91" i="95" s="1"/>
  <c r="B92" i="95"/>
  <c r="C58" i="95"/>
  <c r="C60" i="95" s="1"/>
  <c r="C61" i="95" s="1"/>
  <c r="A21" i="95"/>
  <c r="F36" i="95"/>
  <c r="F45" i="95"/>
  <c r="F58" i="95" s="1"/>
  <c r="F60" i="95" s="1"/>
  <c r="F61" i="95" s="1"/>
  <c r="B116" i="95" s="1"/>
  <c r="C116" i="95" s="1"/>
  <c r="B69" i="95"/>
  <c r="B58" i="95" s="1"/>
  <c r="E124" i="88"/>
  <c r="E123" i="88"/>
  <c r="C115" i="88"/>
  <c r="E112" i="88"/>
  <c r="E111" i="88"/>
  <c r="C103" i="88"/>
  <c r="E100" i="88"/>
  <c r="F97" i="88"/>
  <c r="A94" i="88"/>
  <c r="E93" i="88"/>
  <c r="C90" i="88"/>
  <c r="E85" i="88"/>
  <c r="F84" i="88"/>
  <c r="F83" i="88"/>
  <c r="F82" i="88"/>
  <c r="A81" i="88"/>
  <c r="C77" i="88"/>
  <c r="B76" i="88"/>
  <c r="C68" i="88"/>
  <c r="F59" i="88"/>
  <c r="E59" i="88"/>
  <c r="D59" i="88"/>
  <c r="C59" i="88"/>
  <c r="B78" i="88" s="1"/>
  <c r="B59" i="88"/>
  <c r="F44" i="88"/>
  <c r="E44" i="88"/>
  <c r="D44" i="88"/>
  <c r="F31" i="88"/>
  <c r="F34" i="88" s="1"/>
  <c r="F28" i="88"/>
  <c r="E45" i="88" s="1"/>
  <c r="E58" i="88" s="1"/>
  <c r="E60" i="88" s="1"/>
  <c r="E61" i="88" s="1"/>
  <c r="B104" i="88" s="1"/>
  <c r="C104" i="88" s="1"/>
  <c r="F27" i="88"/>
  <c r="B69" i="88" s="1"/>
  <c r="B58" i="88" s="1"/>
  <c r="F26" i="88"/>
  <c r="F25" i="88"/>
  <c r="F32" i="88" s="1"/>
  <c r="F24" i="88"/>
  <c r="F18" i="88"/>
  <c r="G36" i="88" s="1"/>
  <c r="E76" i="88" s="1"/>
  <c r="G76" i="88" s="1"/>
  <c r="F17" i="88"/>
  <c r="F16" i="88"/>
  <c r="F15" i="88"/>
  <c r="F20" i="88" s="1"/>
  <c r="D2" i="88"/>
  <c r="E123" i="87"/>
  <c r="C115" i="87"/>
  <c r="E111" i="87"/>
  <c r="C103" i="87"/>
  <c r="F97" i="87"/>
  <c r="A94" i="87"/>
  <c r="E93" i="87"/>
  <c r="C90" i="87"/>
  <c r="E85" i="87"/>
  <c r="F84" i="87"/>
  <c r="F83" i="87"/>
  <c r="F82" i="87"/>
  <c r="A81" i="87"/>
  <c r="C77" i="87"/>
  <c r="B76" i="87"/>
  <c r="C68" i="87"/>
  <c r="F59" i="87"/>
  <c r="E59" i="87"/>
  <c r="D59" i="87"/>
  <c r="C59" i="87"/>
  <c r="B59" i="87"/>
  <c r="F44" i="87"/>
  <c r="E44" i="87"/>
  <c r="D44" i="87"/>
  <c r="F31" i="87"/>
  <c r="F34" i="87" s="1"/>
  <c r="F28" i="87"/>
  <c r="E45" i="87" s="1"/>
  <c r="F27" i="87"/>
  <c r="B69" i="87" s="1"/>
  <c r="B58" i="87" s="1"/>
  <c r="F26" i="87"/>
  <c r="F25" i="87"/>
  <c r="F24" i="87"/>
  <c r="F18" i="87"/>
  <c r="F17" i="87"/>
  <c r="F16" i="87"/>
  <c r="F15" i="87"/>
  <c r="F20" i="87" s="1"/>
  <c r="D2" i="87"/>
  <c r="E123" i="86"/>
  <c r="C115" i="86"/>
  <c r="E111" i="86"/>
  <c r="C103" i="86"/>
  <c r="F97" i="86"/>
  <c r="A94" i="86"/>
  <c r="E93" i="86"/>
  <c r="C90" i="86"/>
  <c r="E85" i="86"/>
  <c r="F84" i="86"/>
  <c r="F83" i="86"/>
  <c r="F82" i="86"/>
  <c r="A81" i="86"/>
  <c r="C77" i="86"/>
  <c r="B76" i="86"/>
  <c r="C68" i="86"/>
  <c r="F59" i="86"/>
  <c r="E59" i="86"/>
  <c r="D59" i="86"/>
  <c r="C59" i="86"/>
  <c r="B59" i="86"/>
  <c r="F44" i="86"/>
  <c r="E44" i="86"/>
  <c r="D44" i="86"/>
  <c r="F36" i="86"/>
  <c r="G35" i="86"/>
  <c r="E75" i="86" s="1"/>
  <c r="F31" i="86"/>
  <c r="F34" i="86" s="1"/>
  <c r="F28" i="86"/>
  <c r="F27" i="86"/>
  <c r="D45" i="86" s="1"/>
  <c r="F26" i="86"/>
  <c r="F25" i="86"/>
  <c r="F24" i="86"/>
  <c r="A21" i="86"/>
  <c r="F18" i="86"/>
  <c r="F35" i="86" s="1"/>
  <c r="F17" i="86"/>
  <c r="F16" i="86"/>
  <c r="F15" i="86"/>
  <c r="D2" i="86"/>
  <c r="J46" i="6"/>
  <c r="L56" i="6"/>
  <c r="F46" i="6"/>
  <c r="F37" i="6"/>
  <c r="H55" i="6"/>
  <c r="I57" i="6"/>
  <c r="H48" i="6"/>
  <c r="J6" i="6"/>
  <c r="E14" i="6"/>
  <c r="H37" i="6"/>
  <c r="I14" i="6"/>
  <c r="G7" i="6"/>
  <c r="F58" i="6"/>
  <c r="I37" i="6"/>
  <c r="I8" i="6"/>
  <c r="E48" i="6"/>
  <c r="D47" i="6"/>
  <c r="G46" i="6"/>
  <c r="L49" i="6"/>
  <c r="J27" i="6"/>
  <c r="K56" i="6"/>
  <c r="I7" i="6"/>
  <c r="H7" i="6"/>
  <c r="K57" i="6"/>
  <c r="G12" i="6"/>
  <c r="L40" i="6"/>
  <c r="D48" i="6"/>
  <c r="F48" i="6"/>
  <c r="J47" i="6"/>
  <c r="I6" i="6"/>
  <c r="K49" i="6"/>
  <c r="E13" i="6"/>
  <c r="H39" i="6"/>
  <c r="G37" i="6"/>
  <c r="I47" i="6"/>
  <c r="K46" i="6"/>
  <c r="D49" i="6"/>
  <c r="K48" i="6"/>
  <c r="J12" i="6"/>
  <c r="D8" i="6"/>
  <c r="G58" i="6"/>
  <c r="J57" i="6"/>
  <c r="K58" i="6"/>
  <c r="L11" i="6"/>
  <c r="L58" i="6"/>
  <c r="J39" i="6"/>
  <c r="I48" i="6"/>
  <c r="F8" i="6"/>
  <c r="L6" i="6"/>
  <c r="H58" i="6"/>
  <c r="I9" i="6"/>
  <c r="E57" i="6"/>
  <c r="L14" i="6"/>
  <c r="G48" i="6"/>
  <c r="J13" i="6"/>
  <c r="G9" i="6"/>
  <c r="G39" i="6"/>
  <c r="G40" i="6"/>
  <c r="K47" i="6"/>
  <c r="H46" i="6"/>
  <c r="J58" i="6"/>
  <c r="G57" i="6"/>
  <c r="E49" i="6"/>
  <c r="H9" i="6"/>
  <c r="F55" i="6"/>
  <c r="J36" i="6"/>
  <c r="H13" i="6"/>
  <c r="G47" i="6"/>
  <c r="G6" i="6"/>
  <c r="F40" i="6"/>
  <c r="H12" i="6"/>
  <c r="L55" i="6"/>
  <c r="L37" i="6"/>
  <c r="D7" i="6"/>
  <c r="D55" i="6"/>
  <c r="I39" i="6"/>
  <c r="L7" i="6"/>
  <c r="H47" i="6"/>
  <c r="H11" i="6"/>
  <c r="L36" i="6"/>
  <c r="E12" i="6"/>
  <c r="I27" i="6"/>
  <c r="H36" i="6"/>
  <c r="I13" i="6"/>
  <c r="F27" i="6"/>
  <c r="G56" i="6"/>
  <c r="E7" i="6"/>
  <c r="G14" i="6"/>
  <c r="L57" i="6"/>
  <c r="J9" i="6"/>
  <c r="H49" i="6"/>
  <c r="F49" i="6"/>
  <c r="G36" i="6"/>
  <c r="K36" i="6"/>
  <c r="E47" i="6"/>
  <c r="F6" i="6"/>
  <c r="G8" i="6"/>
  <c r="J48" i="6"/>
  <c r="G13" i="6"/>
  <c r="G11" i="6"/>
  <c r="J55" i="6"/>
  <c r="H40" i="6"/>
  <c r="J40" i="6"/>
  <c r="F57" i="6"/>
  <c r="E6" i="6"/>
  <c r="F36" i="6"/>
  <c r="H8" i="6"/>
  <c r="J37" i="6"/>
  <c r="K8" i="6"/>
  <c r="E40" i="6"/>
  <c r="J14" i="6"/>
  <c r="K14" i="6"/>
  <c r="E27" i="6"/>
  <c r="J8" i="6"/>
  <c r="K12" i="6"/>
  <c r="I55" i="6"/>
  <c r="J11" i="6"/>
  <c r="J56" i="6"/>
  <c r="K37" i="6"/>
  <c r="F12" i="6"/>
  <c r="H14" i="6"/>
  <c r="L46" i="6"/>
  <c r="E56" i="6"/>
  <c r="K55" i="6"/>
  <c r="I12" i="6"/>
  <c r="K13" i="6"/>
  <c r="L48" i="6"/>
  <c r="E55" i="6"/>
  <c r="G49" i="6"/>
  <c r="E36" i="6"/>
  <c r="K11" i="6"/>
  <c r="F47" i="6"/>
  <c r="I36" i="6"/>
  <c r="L27" i="6"/>
  <c r="J7" i="6"/>
  <c r="F56" i="6"/>
  <c r="H56" i="6"/>
  <c r="I11" i="6"/>
  <c r="K27" i="6"/>
  <c r="I40" i="6"/>
  <c r="D14" i="6"/>
  <c r="K6" i="6"/>
  <c r="I49" i="6"/>
  <c r="F13" i="6"/>
  <c r="I58" i="6"/>
  <c r="L13" i="6"/>
  <c r="K7" i="6"/>
  <c r="E9" i="6"/>
  <c r="H27" i="6"/>
  <c r="D57" i="6"/>
  <c r="K40" i="6"/>
  <c r="G55" i="6"/>
  <c r="K39" i="6"/>
  <c r="L47" i="6"/>
  <c r="H57" i="6"/>
  <c r="K9" i="6"/>
  <c r="I46" i="6"/>
  <c r="I56" i="6"/>
  <c r="F7" i="6"/>
  <c r="F14" i="6"/>
  <c r="G27" i="6"/>
  <c r="L39" i="6"/>
  <c r="L8" i="6"/>
  <c r="L12" i="6"/>
  <c r="D56" i="6"/>
  <c r="E37" i="6"/>
  <c r="E8" i="6"/>
  <c r="L9" i="6"/>
  <c r="F9" i="6"/>
  <c r="E58" i="6"/>
  <c r="J49" i="6"/>
  <c r="D46" i="6"/>
  <c r="E46" i="6"/>
  <c r="H6" i="6"/>
  <c r="D58" i="6"/>
  <c r="C58" i="99" l="1"/>
  <c r="B61" i="98"/>
  <c r="B70" i="98" s="1"/>
  <c r="C70" i="98" s="1"/>
  <c r="B60" i="98"/>
  <c r="C58" i="98"/>
  <c r="B61" i="97"/>
  <c r="B70" i="97" s="1"/>
  <c r="C70" i="97" s="1"/>
  <c r="B60" i="97"/>
  <c r="C58" i="97"/>
  <c r="D64" i="97"/>
  <c r="B100" i="97" s="1"/>
  <c r="D63" i="97"/>
  <c r="A38" i="97"/>
  <c r="G29" i="97"/>
  <c r="C64" i="97"/>
  <c r="C63" i="97"/>
  <c r="G30" i="97"/>
  <c r="G27" i="97"/>
  <c r="F64" i="97"/>
  <c r="B124" i="97" s="1"/>
  <c r="F63" i="97"/>
  <c r="E64" i="97"/>
  <c r="B112" i="97" s="1"/>
  <c r="E63" i="97"/>
  <c r="G31" i="97"/>
  <c r="G28" i="97"/>
  <c r="C58" i="96"/>
  <c r="D64" i="96"/>
  <c r="B100" i="96" s="1"/>
  <c r="D63" i="96"/>
  <c r="A38" i="96"/>
  <c r="C64" i="96"/>
  <c r="C63" i="96"/>
  <c r="G30" i="96"/>
  <c r="G27" i="96"/>
  <c r="F64" i="96"/>
  <c r="B124" i="96" s="1"/>
  <c r="F63" i="96"/>
  <c r="G29" i="96"/>
  <c r="E64" i="96"/>
  <c r="B112" i="96" s="1"/>
  <c r="E63" i="96"/>
  <c r="G31" i="96"/>
  <c r="G28" i="96"/>
  <c r="B61" i="96"/>
  <c r="B70" i="96" s="1"/>
  <c r="C70" i="96" s="1"/>
  <c r="B60" i="96"/>
  <c r="B61" i="95"/>
  <c r="B70" i="95" s="1"/>
  <c r="C70" i="95" s="1"/>
  <c r="B60" i="95"/>
  <c r="B78" i="95"/>
  <c r="B79" i="95" s="1"/>
  <c r="E86" i="95" s="1"/>
  <c r="A87" i="95" s="1"/>
  <c r="B78" i="87"/>
  <c r="B78" i="86"/>
  <c r="F32" i="87"/>
  <c r="A38" i="87" s="1"/>
  <c r="E58" i="87"/>
  <c r="E60" i="87" s="1"/>
  <c r="E61" i="87" s="1"/>
  <c r="B104" i="87" s="1"/>
  <c r="C104" i="87" s="1"/>
  <c r="F20" i="86"/>
  <c r="D58" i="86"/>
  <c r="C64" i="88"/>
  <c r="C63" i="88"/>
  <c r="G30" i="88"/>
  <c r="G27" i="88"/>
  <c r="G31" i="88"/>
  <c r="D64" i="88"/>
  <c r="B100" i="88" s="1"/>
  <c r="A38" i="88"/>
  <c r="F64" i="88"/>
  <c r="B124" i="88" s="1"/>
  <c r="F63" i="88"/>
  <c r="G29" i="88"/>
  <c r="E64" i="88"/>
  <c r="B112" i="88" s="1"/>
  <c r="E63" i="88"/>
  <c r="G28" i="88"/>
  <c r="D63" i="88"/>
  <c r="B61" i="88"/>
  <c r="B70" i="88" s="1"/>
  <c r="C70" i="88" s="1"/>
  <c r="B60" i="88"/>
  <c r="D65" i="88"/>
  <c r="F65" i="88"/>
  <c r="B123" i="88" s="1"/>
  <c r="E65" i="88"/>
  <c r="B111" i="88" s="1"/>
  <c r="G35" i="88"/>
  <c r="E75" i="88" s="1"/>
  <c r="A21" i="88"/>
  <c r="F36" i="88"/>
  <c r="F45" i="88"/>
  <c r="F58" i="88" s="1"/>
  <c r="F60" i="88" s="1"/>
  <c r="F61" i="88" s="1"/>
  <c r="B116" i="88" s="1"/>
  <c r="C116" i="88" s="1"/>
  <c r="B75" i="88"/>
  <c r="B77" i="88" s="1"/>
  <c r="F35" i="88"/>
  <c r="D45" i="88"/>
  <c r="D58" i="88" s="1"/>
  <c r="D60" i="88" s="1"/>
  <c r="D65" i="87"/>
  <c r="E65" i="87"/>
  <c r="B111" i="87" s="1"/>
  <c r="F65" i="87"/>
  <c r="B123" i="87" s="1"/>
  <c r="G30" i="87"/>
  <c r="G27" i="87"/>
  <c r="B75" i="87" s="1"/>
  <c r="B77" i="87" s="1"/>
  <c r="E64" i="87"/>
  <c r="B112" i="87" s="1"/>
  <c r="E112" i="87" s="1"/>
  <c r="G31" i="87"/>
  <c r="G28" i="87"/>
  <c r="B60" i="87"/>
  <c r="B61" i="87" s="1"/>
  <c r="B70" i="87" s="1"/>
  <c r="C70" i="87" s="1"/>
  <c r="F35" i="87"/>
  <c r="G35" i="87" s="1"/>
  <c r="E75" i="87" s="1"/>
  <c r="D45" i="87"/>
  <c r="D58" i="87" s="1"/>
  <c r="D60" i="87" s="1"/>
  <c r="A21" i="87"/>
  <c r="F36" i="87"/>
  <c r="G36" i="87" s="1"/>
  <c r="E76" i="87" s="1"/>
  <c r="G76" i="87" s="1"/>
  <c r="F45" i="87"/>
  <c r="F58" i="87" s="1"/>
  <c r="F60" i="87" s="1"/>
  <c r="F61" i="87" s="1"/>
  <c r="B116" i="87" s="1"/>
  <c r="C116" i="87" s="1"/>
  <c r="E65" i="86"/>
  <c r="B111" i="86" s="1"/>
  <c r="D65" i="86"/>
  <c r="F65" i="86"/>
  <c r="B123" i="86" s="1"/>
  <c r="E45" i="86"/>
  <c r="E58" i="86" s="1"/>
  <c r="E60" i="86" s="1"/>
  <c r="E61" i="86" s="1"/>
  <c r="B104" i="86" s="1"/>
  <c r="C104" i="86" s="1"/>
  <c r="F32" i="86"/>
  <c r="F45" i="86"/>
  <c r="F58" i="86" s="1"/>
  <c r="F60" i="86" s="1"/>
  <c r="F61" i="86" s="1"/>
  <c r="B116" i="86" s="1"/>
  <c r="C116" i="86" s="1"/>
  <c r="G36" i="86"/>
  <c r="E76" i="86" s="1"/>
  <c r="G76" i="86" s="1"/>
  <c r="B69" i="86"/>
  <c r="B58" i="86" s="1"/>
  <c r="I10" i="6"/>
  <c r="F10" i="6"/>
  <c r="J10" i="6"/>
  <c r="E10" i="6"/>
  <c r="G10" i="6"/>
  <c r="K10" i="6"/>
  <c r="H10" i="6"/>
  <c r="L10" i="6"/>
  <c r="D44" i="9"/>
  <c r="E44" i="9"/>
  <c r="F31" i="9"/>
  <c r="F11" i="6"/>
  <c r="G19" i="6"/>
  <c r="I38" i="6"/>
  <c r="H18" i="6"/>
  <c r="K38" i="6"/>
  <c r="J18" i="6"/>
  <c r="F18" i="6"/>
  <c r="D9" i="6"/>
  <c r="I19" i="6"/>
  <c r="H26" i="6"/>
  <c r="K19" i="15"/>
  <c r="K14" i="15"/>
  <c r="G38" i="6"/>
  <c r="K19" i="6"/>
  <c r="K17" i="15"/>
  <c r="L19" i="6"/>
  <c r="K15" i="15"/>
  <c r="J26" i="6"/>
  <c r="K26" i="6"/>
  <c r="G26" i="6"/>
  <c r="F39" i="6"/>
  <c r="K18" i="6"/>
  <c r="D36" i="6"/>
  <c r="E11" i="6"/>
  <c r="E39" i="6"/>
  <c r="I26" i="6"/>
  <c r="I18" i="6"/>
  <c r="D37" i="6"/>
  <c r="J19" i="6"/>
  <c r="H19" i="6"/>
  <c r="L18" i="6"/>
  <c r="H38" i="6"/>
  <c r="K16" i="15"/>
  <c r="G18" i="6"/>
  <c r="L26" i="6"/>
  <c r="E18" i="6"/>
  <c r="J38" i="6"/>
  <c r="K18" i="15"/>
  <c r="E19" i="6"/>
  <c r="F19" i="6"/>
  <c r="L38" i="6"/>
  <c r="I28" i="6" l="1"/>
  <c r="K28" i="6"/>
  <c r="J28" i="6"/>
  <c r="L28" i="6"/>
  <c r="H28" i="6"/>
  <c r="G28" i="6"/>
  <c r="C60" i="99"/>
  <c r="C61" i="99" s="1"/>
  <c r="B78" i="99"/>
  <c r="B79" i="99" s="1"/>
  <c r="E86" i="99" s="1"/>
  <c r="A87" i="99" s="1"/>
  <c r="C60" i="98"/>
  <c r="C61" i="98" s="1"/>
  <c r="B78" i="98"/>
  <c r="B79" i="98" s="1"/>
  <c r="E86" i="98" s="1"/>
  <c r="A87" i="98" s="1"/>
  <c r="C60" i="97"/>
  <c r="C61" i="97" s="1"/>
  <c r="B78" i="97"/>
  <c r="B79" i="97" s="1"/>
  <c r="E86" i="97" s="1"/>
  <c r="A87" i="97" s="1"/>
  <c r="C60" i="96"/>
  <c r="C61" i="96" s="1"/>
  <c r="B78" i="96"/>
  <c r="B79" i="96" s="1"/>
  <c r="E86" i="96" s="1"/>
  <c r="A87" i="96" s="1"/>
  <c r="G29" i="87"/>
  <c r="F64" i="87"/>
  <c r="B124" i="87" s="1"/>
  <c r="E124" i="87" s="1"/>
  <c r="E63" i="87"/>
  <c r="D63" i="87"/>
  <c r="D64" i="87"/>
  <c r="B100" i="87" s="1"/>
  <c r="E100" i="87" s="1"/>
  <c r="F63" i="87"/>
  <c r="D60" i="86"/>
  <c r="C58" i="88"/>
  <c r="C60" i="88" s="1"/>
  <c r="C61" i="88" s="1"/>
  <c r="B79" i="88"/>
  <c r="D61" i="88"/>
  <c r="B91" i="88" s="1"/>
  <c r="C91" i="88" s="1"/>
  <c r="B92" i="88"/>
  <c r="B79" i="87"/>
  <c r="E86" i="87" s="1"/>
  <c r="A87" i="87" s="1"/>
  <c r="C58" i="87"/>
  <c r="D61" i="87"/>
  <c r="B91" i="87" s="1"/>
  <c r="C91" i="87" s="1"/>
  <c r="B92" i="87"/>
  <c r="B61" i="86"/>
  <c r="B70" i="86" s="1"/>
  <c r="C70" i="86" s="1"/>
  <c r="B60" i="86"/>
  <c r="D64" i="86"/>
  <c r="B100" i="86" s="1"/>
  <c r="E100" i="86" s="1"/>
  <c r="D63" i="86"/>
  <c r="A38" i="86"/>
  <c r="F64" i="86"/>
  <c r="B124" i="86" s="1"/>
  <c r="E124" i="86" s="1"/>
  <c r="F63" i="86"/>
  <c r="G30" i="86"/>
  <c r="G27" i="86"/>
  <c r="E64" i="86"/>
  <c r="B112" i="86" s="1"/>
  <c r="E112" i="86" s="1"/>
  <c r="E63" i="86"/>
  <c r="G31" i="86"/>
  <c r="G28" i="86"/>
  <c r="G29" i="86"/>
  <c r="E20" i="6"/>
  <c r="I20" i="6"/>
  <c r="J20" i="6"/>
  <c r="G20" i="6"/>
  <c r="K20" i="6"/>
  <c r="H20" i="6"/>
  <c r="L20" i="6"/>
  <c r="F44" i="9"/>
  <c r="F28" i="9"/>
  <c r="F27" i="9"/>
  <c r="F38" i="6"/>
  <c r="F20" i="6"/>
  <c r="D6" i="6"/>
  <c r="E86" i="88" l="1"/>
  <c r="A87" i="88" s="1"/>
  <c r="C60" i="87"/>
  <c r="C61" i="87" s="1"/>
  <c r="C64" i="87"/>
  <c r="C63" i="87"/>
  <c r="B75" i="86"/>
  <c r="B77" i="86" s="1"/>
  <c r="B92" i="86"/>
  <c r="D61" i="86"/>
  <c r="B91" i="86" s="1"/>
  <c r="D10" i="6"/>
  <c r="D45" i="9"/>
  <c r="D58" i="9" s="1"/>
  <c r="F45" i="9"/>
  <c r="E45" i="9"/>
  <c r="F34" i="9"/>
  <c r="B69" i="9"/>
  <c r="L54" i="6"/>
  <c r="K54" i="6"/>
  <c r="J54" i="6"/>
  <c r="I54" i="6"/>
  <c r="H54" i="6"/>
  <c r="G54" i="6"/>
  <c r="F54" i="6"/>
  <c r="E54" i="6"/>
  <c r="D54" i="6"/>
  <c r="L45" i="6"/>
  <c r="K45" i="6"/>
  <c r="J45" i="6"/>
  <c r="I45" i="6"/>
  <c r="H45" i="6"/>
  <c r="G45" i="6"/>
  <c r="F45" i="6"/>
  <c r="E45" i="6"/>
  <c r="D45" i="6"/>
  <c r="L35" i="6"/>
  <c r="K35" i="6"/>
  <c r="J35" i="6"/>
  <c r="I35" i="6"/>
  <c r="H35" i="6"/>
  <c r="G35" i="6"/>
  <c r="F35" i="6"/>
  <c r="E35" i="6"/>
  <c r="D35" i="6"/>
  <c r="L25" i="6"/>
  <c r="K25" i="6"/>
  <c r="J25" i="6"/>
  <c r="I25" i="6"/>
  <c r="H25" i="6"/>
  <c r="G25" i="6"/>
  <c r="F25" i="6"/>
  <c r="E25" i="6"/>
  <c r="D25" i="6"/>
  <c r="L17" i="6"/>
  <c r="K17" i="6"/>
  <c r="J17" i="6"/>
  <c r="I17" i="6"/>
  <c r="H17" i="6"/>
  <c r="G17" i="6"/>
  <c r="F17" i="6"/>
  <c r="E17" i="6"/>
  <c r="D17" i="6"/>
  <c r="D39" i="6"/>
  <c r="F26" i="6"/>
  <c r="E38" i="6"/>
  <c r="B79" i="86" l="1"/>
  <c r="E86" i="86" s="1"/>
  <c r="A87" i="86" s="1"/>
  <c r="C58" i="86"/>
  <c r="C91" i="86"/>
  <c r="E58" i="9"/>
  <c r="F58" i="9"/>
  <c r="F28" i="6"/>
  <c r="E26" i="6"/>
  <c r="C63" i="86" l="1"/>
  <c r="C60" i="86"/>
  <c r="C61" i="86" s="1"/>
  <c r="C64" i="86"/>
  <c r="C77" i="9"/>
  <c r="D12" i="6"/>
  <c r="E28" i="6"/>
  <c r="D13" i="6"/>
  <c r="C90" i="9" l="1"/>
  <c r="A94" i="9" l="1"/>
  <c r="D2" i="9" l="1"/>
  <c r="C59" i="9"/>
  <c r="B59" i="9"/>
  <c r="D59" i="9"/>
  <c r="F59" i="9"/>
  <c r="E59" i="9"/>
  <c r="D19" i="6"/>
  <c r="B78" i="9" l="1"/>
  <c r="C103" i="9"/>
  <c r="A81" i="9"/>
  <c r="E85" i="9"/>
  <c r="F82" i="9"/>
  <c r="F84" i="9"/>
  <c r="F83" i="9"/>
  <c r="F97" i="9"/>
  <c r="D27" i="6"/>
  <c r="C115" i="9" l="1"/>
  <c r="C68" i="9"/>
  <c r="E93" i="9" l="1"/>
  <c r="E14" i="2" l="1"/>
  <c r="D14" i="2"/>
  <c r="C14" i="2"/>
  <c r="B14" i="2"/>
  <c r="B17" i="2"/>
  <c r="E17" i="2"/>
  <c r="D17" i="2"/>
  <c r="C17" i="2"/>
  <c r="E16" i="2"/>
  <c r="D16" i="2"/>
  <c r="C16" i="2"/>
  <c r="B16" i="2"/>
  <c r="F26" i="9" l="1"/>
  <c r="F25" i="9"/>
  <c r="F24" i="9"/>
  <c r="F18" i="9"/>
  <c r="F17" i="9"/>
  <c r="F16" i="9"/>
  <c r="F15" i="9"/>
  <c r="F35" i="9" l="1"/>
  <c r="F20" i="9"/>
  <c r="A21" i="9"/>
  <c r="F36" i="9"/>
  <c r="F32" i="9"/>
  <c r="D11" i="6"/>
  <c r="G28" i="9" l="1"/>
  <c r="G30" i="9"/>
  <c r="G31" i="9"/>
  <c r="G27" i="9"/>
  <c r="G29" i="9"/>
  <c r="E65" i="9"/>
  <c r="D65" i="9"/>
  <c r="F65" i="9"/>
  <c r="A38" i="9"/>
  <c r="G36" i="9"/>
  <c r="E76" i="9" s="1"/>
  <c r="G76" i="9" s="1"/>
  <c r="G35" i="9"/>
  <c r="E75" i="9" s="1"/>
  <c r="E63" i="9"/>
  <c r="F63" i="9"/>
  <c r="D63" i="9"/>
  <c r="E64" i="9"/>
  <c r="F64" i="9"/>
  <c r="D64" i="9"/>
  <c r="B76" i="9"/>
  <c r="C8" i="6"/>
  <c r="B75" i="9" l="1"/>
  <c r="C9" i="6"/>
  <c r="C6" i="6"/>
  <c r="C7" i="6"/>
  <c r="C11" i="6"/>
  <c r="C10" i="6"/>
  <c r="B77" i="9" l="1"/>
  <c r="B58" i="9"/>
  <c r="B61" i="9" s="1"/>
  <c r="D18" i="6"/>
  <c r="D20" i="6" l="1"/>
  <c r="C58" i="9"/>
  <c r="B79" i="9"/>
  <c r="E86" i="9" s="1"/>
  <c r="B60" i="9"/>
  <c r="B15" i="2"/>
  <c r="E15" i="2"/>
  <c r="D15" i="2"/>
  <c r="C15" i="2"/>
  <c r="E13" i="2"/>
  <c r="D13" i="2"/>
  <c r="C13" i="2"/>
  <c r="B13" i="2"/>
  <c r="D26" i="6"/>
  <c r="C63" i="9" l="1"/>
  <c r="C64" i="9"/>
  <c r="C60" i="9"/>
  <c r="C61" i="9" s="1"/>
  <c r="B123" i="9"/>
  <c r="E123" i="9" s="1"/>
  <c r="B111" i="9"/>
  <c r="E111" i="9" s="1"/>
  <c r="D28" i="6"/>
  <c r="B70" i="9" l="1"/>
  <c r="C26" i="6"/>
  <c r="B124" i="9"/>
  <c r="E124" i="9" s="1"/>
  <c r="B112" i="9"/>
  <c r="E112" i="9" s="1"/>
  <c r="B100" i="9"/>
  <c r="E100" i="9" s="1"/>
  <c r="E60" i="9"/>
  <c r="E61" i="9" s="1"/>
  <c r="F60" i="9"/>
  <c r="F61" i="9" s="1"/>
  <c r="C19" i="6" l="1"/>
  <c r="C18" i="6"/>
  <c r="C70" i="9"/>
  <c r="D60" i="9"/>
  <c r="D61" i="9" s="1"/>
  <c r="B116" i="9"/>
  <c r="C116" i="9" s="1"/>
  <c r="B104" i="9"/>
  <c r="C104" i="9" s="1"/>
  <c r="C20" i="6" l="1"/>
  <c r="C27" i="6"/>
  <c r="C28" i="6" s="1"/>
  <c r="C39" i="6"/>
  <c r="B92" i="9"/>
  <c r="A87" i="9"/>
  <c r="D40" i="6"/>
  <c r="C40" i="6" l="1"/>
  <c r="B91" i="9"/>
  <c r="D38" i="6"/>
  <c r="C91"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8FC37F21-4CA8-4179-9C64-3C10203D1F8F}">
      <text>
        <r>
          <rPr>
            <sz val="9"/>
            <color indexed="81"/>
            <rFont val="Tahoma"/>
            <family val="2"/>
          </rPr>
          <t>Do not include any previously authorized impervious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393FB99D-48CB-450C-8113-D6F8A112CD09}">
      <text>
        <r>
          <rPr>
            <sz val="9"/>
            <color indexed="81"/>
            <rFont val="Tahoma"/>
            <family val="2"/>
          </rPr>
          <t>Do not include any previously authorized impervious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64514B4E-54C4-4B8A-9208-C8A0D65AB2D3}">
      <text>
        <r>
          <rPr>
            <sz val="9"/>
            <color indexed="81"/>
            <rFont val="Tahoma"/>
            <family val="2"/>
          </rPr>
          <t>Do not include any previously authorized impervious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366F850D-D280-403F-A09F-21C00A3F06E1}">
      <text>
        <r>
          <rPr>
            <sz val="9"/>
            <color indexed="81"/>
            <rFont val="Tahoma"/>
            <family val="2"/>
          </rPr>
          <t>Do not include any previously authorized impervious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7056D2B4-11EB-4705-AEE4-1A18D6901A83}">
      <text>
        <r>
          <rPr>
            <sz val="9"/>
            <color indexed="81"/>
            <rFont val="Tahoma"/>
            <family val="2"/>
          </rPr>
          <t>Do not include any previously authorized impervious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38FF05CB-C9E6-4920-88CD-B15EC137E5F9}">
      <text>
        <r>
          <rPr>
            <sz val="9"/>
            <color indexed="81"/>
            <rFont val="Tahoma"/>
            <family val="2"/>
          </rPr>
          <t>Do not include any previously authorized impervious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3BD9E3EA-38C2-4037-9E2C-ED6DE52EDA1A}">
      <text>
        <r>
          <rPr>
            <sz val="9"/>
            <color indexed="81"/>
            <rFont val="Tahoma"/>
            <family val="2"/>
          </rPr>
          <t>Do not include any previously authorized impervious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54CA70B9-D1E2-4F61-9AE3-691D592DAFB2}">
      <text>
        <r>
          <rPr>
            <sz val="9"/>
            <color indexed="81"/>
            <rFont val="Tahoma"/>
            <family val="2"/>
          </rPr>
          <t>Do not include any previously authorized impervious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A18" authorId="0" shapeId="0" xr:uid="{0B523145-0664-4CBD-A2DE-715ED0DC0249}">
      <text>
        <r>
          <rPr>
            <sz val="9"/>
            <color indexed="81"/>
            <rFont val="Tahoma"/>
            <family val="2"/>
          </rPr>
          <t>Do not include any previously authorized impervious</t>
        </r>
      </text>
    </comment>
  </commentList>
</comments>
</file>

<file path=xl/sharedStrings.xml><?xml version="1.0" encoding="utf-8"?>
<sst xmlns="http://schemas.openxmlformats.org/spreadsheetml/2006/main" count="1595" uniqueCount="267">
  <si>
    <t>Precipitation (inches)</t>
  </si>
  <si>
    <t>Hydrologic Soil Group</t>
  </si>
  <si>
    <t>A</t>
  </si>
  <si>
    <t>B</t>
  </si>
  <si>
    <t>C</t>
  </si>
  <si>
    <t>D</t>
  </si>
  <si>
    <t>Grass</t>
  </si>
  <si>
    <t>Woods</t>
  </si>
  <si>
    <t>Landuse</t>
  </si>
  <si>
    <t>Total Site Area</t>
  </si>
  <si>
    <t>Curve Numbers</t>
  </si>
  <si>
    <t>S=1000/CN - 10</t>
  </si>
  <si>
    <t>Recharge Factors</t>
  </si>
  <si>
    <t>Total</t>
  </si>
  <si>
    <t>Disconnection Slope</t>
  </si>
  <si>
    <t>HSG</t>
  </si>
  <si>
    <t>&lt;8%</t>
  </si>
  <si>
    <t>8-15%</t>
  </si>
  <si>
    <t>A/B</t>
  </si>
  <si>
    <t>C/D</t>
  </si>
  <si>
    <t>Simple Disconnection Required Treatment Length</t>
  </si>
  <si>
    <t>Disconnection to filter strips and vegetated buffers - Required Treatment Lengths</t>
  </si>
  <si>
    <t>&lt;4%</t>
  </si>
  <si>
    <t>4-6%</t>
  </si>
  <si>
    <t>6-8%</t>
  </si>
  <si>
    <t>Permeable Pavement</t>
  </si>
  <si>
    <t>Infiltration Trench</t>
  </si>
  <si>
    <t>Infiltration Basin</t>
  </si>
  <si>
    <t>Recharge Factor</t>
  </si>
  <si>
    <t>Project name</t>
  </si>
  <si>
    <t>Discharge point serial number (e.g. S/N 001)</t>
  </si>
  <si>
    <t xml:space="preserve">Name of receiving water </t>
  </si>
  <si>
    <t>General Discharge Point Information</t>
  </si>
  <si>
    <t>Standard</t>
  </si>
  <si>
    <t>n/a</t>
  </si>
  <si>
    <t>Green Roofs</t>
  </si>
  <si>
    <t>Pre-Development CN</t>
  </si>
  <si>
    <t>Gravel/ Unpaved Roads</t>
  </si>
  <si>
    <t>Meadow</t>
  </si>
  <si>
    <t>Redeveloped Impervious</t>
  </si>
  <si>
    <t xml:space="preserve">* Preciptation values shall be obtained from </t>
  </si>
  <si>
    <t>NOAA Atlas 14</t>
  </si>
  <si>
    <r>
      <t>CN</t>
    </r>
    <r>
      <rPr>
        <vertAlign val="subscript"/>
        <sz val="11"/>
        <color theme="1"/>
        <rFont val="Calibri"/>
        <family val="2"/>
        <scheme val="minor"/>
      </rPr>
      <t>adj</t>
    </r>
  </si>
  <si>
    <t>Post-Development CN</t>
  </si>
  <si>
    <t>Standard met with HCM?</t>
  </si>
  <si>
    <t>Waivers</t>
  </si>
  <si>
    <t>CPv</t>
  </si>
  <si>
    <t>QP10</t>
  </si>
  <si>
    <t>QP100</t>
  </si>
  <si>
    <t>&lt;2 cfs pre-routed, post development 1 yr discharge</t>
  </si>
  <si>
    <t>&lt;2 cfs pre-routed, post development 10 yr discharge</t>
  </si>
  <si>
    <t>&lt;10 acres impervious</t>
  </si>
  <si>
    <t>Storm</t>
  </si>
  <si>
    <t>Precipitation Data</t>
  </si>
  <si>
    <t>WQ Storm</t>
  </si>
  <si>
    <t>1 yr, 24 hr</t>
  </si>
  <si>
    <t>10 yr, 24 hr</t>
  </si>
  <si>
    <t>100 yr, 24 hr</t>
  </si>
  <si>
    <t>Pre Development Land Use (acres)</t>
  </si>
  <si>
    <t>Runoff Calculations</t>
  </si>
  <si>
    <t>1 yr, 24-hr</t>
  </si>
  <si>
    <t>10 yr, 24-hr</t>
  </si>
  <si>
    <t>100 yr, 24-hr</t>
  </si>
  <si>
    <t>Pavement, Roofs, and other impervious (not gravel)</t>
  </si>
  <si>
    <t>Tier 1/Runoff Reduction Practices</t>
  </si>
  <si>
    <t>Simple Disconnection</t>
  </si>
  <si>
    <t>Dry Swales (infiltrating)</t>
  </si>
  <si>
    <t>Drywell(s)</t>
  </si>
  <si>
    <t>Filters (infiltrating)</t>
  </si>
  <si>
    <t>Infiltration Chambers</t>
  </si>
  <si>
    <t>Rainwater Harvesting</t>
  </si>
  <si>
    <t>Practice</t>
  </si>
  <si>
    <r>
      <t>T</t>
    </r>
    <r>
      <rPr>
        <vertAlign val="subscript"/>
        <sz val="11"/>
        <color theme="1"/>
        <rFont val="Calibri"/>
        <family val="2"/>
        <scheme val="minor"/>
      </rPr>
      <t>V</t>
    </r>
    <r>
      <rPr>
        <sz val="11"/>
        <color theme="1"/>
        <rFont val="Calibri"/>
        <family val="2"/>
        <scheme val="minor"/>
      </rPr>
      <t xml:space="preserve"> Provided (ac-ft)</t>
    </r>
  </si>
  <si>
    <t>Re</t>
  </si>
  <si>
    <t>WQ</t>
  </si>
  <si>
    <t>CP</t>
  </si>
  <si>
    <t>Groundwater Recharge Standard (Re)</t>
  </si>
  <si>
    <t>Standard Applicable?</t>
  </si>
  <si>
    <t>Recharge Waivers</t>
  </si>
  <si>
    <t>HSG D Soils</t>
  </si>
  <si>
    <t>Standard Met with HCM?</t>
  </si>
  <si>
    <t>Provide Extended Detention for:</t>
  </si>
  <si>
    <t>Drainage Area Information</t>
  </si>
  <si>
    <t>Tier 2 &amp; 3 WQ Practices</t>
  </si>
  <si>
    <t>Filter (not designed to infiltrate)</t>
  </si>
  <si>
    <t>Wet Pond</t>
  </si>
  <si>
    <t>Shallow Surface Wetland</t>
  </si>
  <si>
    <t>Gravel Wetland</t>
  </si>
  <si>
    <t>Alternative Treatment Practice</t>
  </si>
  <si>
    <t>Dry Swale (not designed to infiltrate)</t>
  </si>
  <si>
    <t>ac-ft</t>
  </si>
  <si>
    <r>
      <t>CN</t>
    </r>
    <r>
      <rPr>
        <vertAlign val="subscript"/>
        <sz val="11"/>
        <color theme="1"/>
        <rFont val="Calibri"/>
        <family val="2"/>
        <scheme val="minor"/>
      </rPr>
      <t>Adj</t>
    </r>
  </si>
  <si>
    <t>Warm or Cold Water Fishery?</t>
  </si>
  <si>
    <t>Provide:</t>
  </si>
  <si>
    <t>→</t>
  </si>
  <si>
    <t>Water Quality Treatment Standard (WQ)</t>
  </si>
  <si>
    <t>Channel Protection Standard (CP)</t>
  </si>
  <si>
    <r>
      <t>Overbank Flood Protection (Q</t>
    </r>
    <r>
      <rPr>
        <b/>
        <vertAlign val="subscript"/>
        <sz val="12"/>
        <color theme="1"/>
        <rFont val="Calibri"/>
        <family val="2"/>
        <scheme val="minor"/>
      </rPr>
      <t>P10</t>
    </r>
    <r>
      <rPr>
        <b/>
        <sz val="12"/>
        <color theme="1"/>
        <rFont val="Calibri"/>
        <family val="2"/>
        <scheme val="minor"/>
      </rPr>
      <t>)</t>
    </r>
  </si>
  <si>
    <t>Extended Detention Practices</t>
  </si>
  <si>
    <t>Dry Pond</t>
  </si>
  <si>
    <t>Subsurface Detention</t>
  </si>
  <si>
    <r>
      <t xml:space="preserve">Direct discharge to drainage area </t>
    </r>
    <r>
      <rPr>
        <sz val="11"/>
        <color theme="1"/>
        <rFont val="Calibri"/>
        <family val="2"/>
      </rPr>
      <t>≥10 sq.mi</t>
    </r>
  </si>
  <si>
    <t>(Watershed Lag Method)</t>
  </si>
  <si>
    <t xml:space="preserve">All curve numbers (CN) calculated in this workbook are flow-weighted.  Pre and post-development CN are back calculated from the flow volume of the storm of interest. </t>
  </si>
  <si>
    <t>STP used:</t>
  </si>
  <si>
    <t>Pre-development peak discharge rate (cfs)</t>
  </si>
  <si>
    <t>Routed, post-development peak discharge rate (cfs)</t>
  </si>
  <si>
    <t>Pre-routed, post-development peak discharge rate (cfs)</t>
  </si>
  <si>
    <r>
      <t>Extreme Flood Protection (Q</t>
    </r>
    <r>
      <rPr>
        <b/>
        <vertAlign val="subscript"/>
        <sz val="12"/>
        <color theme="1"/>
        <rFont val="Calibri"/>
        <family val="2"/>
        <scheme val="minor"/>
      </rPr>
      <t>P100</t>
    </r>
    <r>
      <rPr>
        <b/>
        <sz val="12"/>
        <color theme="1"/>
        <rFont val="Calibri"/>
        <family val="2"/>
        <scheme val="minor"/>
      </rPr>
      <t>)</t>
    </r>
  </si>
  <si>
    <t>Runoff Reduction Calculations</t>
  </si>
  <si>
    <t>Standard met with Tier 1 Practices?</t>
  </si>
  <si>
    <r>
      <t>Total WQ</t>
    </r>
    <r>
      <rPr>
        <vertAlign val="subscript"/>
        <sz val="11"/>
        <color theme="1"/>
        <rFont val="Calibri"/>
        <family val="2"/>
        <scheme val="minor"/>
      </rPr>
      <t>V</t>
    </r>
  </si>
  <si>
    <t>Predevelopment runoff volume (ac-ft)</t>
  </si>
  <si>
    <t>Pre-routed, post development runoff volume (ac-ft)</t>
  </si>
  <si>
    <t>STPs</t>
  </si>
  <si>
    <t>Reduced Impervious</t>
  </si>
  <si>
    <t>Net Reduction</t>
  </si>
  <si>
    <r>
      <t>Re</t>
    </r>
    <r>
      <rPr>
        <vertAlign val="subscript"/>
        <sz val="11"/>
        <color theme="1"/>
        <rFont val="Calibri"/>
        <family val="2"/>
        <scheme val="minor"/>
      </rPr>
      <t>V</t>
    </r>
  </si>
  <si>
    <r>
      <t>T</t>
    </r>
    <r>
      <rPr>
        <vertAlign val="subscript"/>
        <sz val="11"/>
        <color theme="1"/>
        <rFont val="Calibri"/>
        <family val="2"/>
        <scheme val="minor"/>
      </rPr>
      <t>V</t>
    </r>
    <r>
      <rPr>
        <sz val="11"/>
        <color theme="1"/>
        <rFont val="Calibri"/>
        <family val="2"/>
        <scheme val="minor"/>
      </rPr>
      <t xml:space="preserve"> Required (ac-ft)</t>
    </r>
  </si>
  <si>
    <r>
      <t>T</t>
    </r>
    <r>
      <rPr>
        <vertAlign val="subscript"/>
        <sz val="11"/>
        <color theme="1"/>
        <rFont val="Calibri"/>
        <family val="2"/>
        <scheme val="minor"/>
      </rPr>
      <t>V</t>
    </r>
    <r>
      <rPr>
        <sz val="11"/>
        <color theme="1"/>
        <rFont val="Calibri"/>
        <family val="2"/>
        <scheme val="minor"/>
      </rPr>
      <t xml:space="preserve"> Remaining (ac-ft)</t>
    </r>
  </si>
  <si>
    <r>
      <t>Q</t>
    </r>
    <r>
      <rPr>
        <b/>
        <vertAlign val="subscript"/>
        <sz val="11"/>
        <rFont val="Calibri"/>
        <family val="2"/>
        <scheme val="minor"/>
      </rPr>
      <t>P10</t>
    </r>
  </si>
  <si>
    <r>
      <t>Q</t>
    </r>
    <r>
      <rPr>
        <b/>
        <vertAlign val="subscript"/>
        <sz val="11"/>
        <rFont val="Calibri"/>
        <family val="2"/>
        <scheme val="minor"/>
      </rPr>
      <t>P100</t>
    </r>
  </si>
  <si>
    <t>Re-development</t>
  </si>
  <si>
    <t>Post Development Land Use (acres)</t>
  </si>
  <si>
    <t>SN1</t>
  </si>
  <si>
    <t>SN2</t>
  </si>
  <si>
    <t>SN3</t>
  </si>
  <si>
    <t>SN4</t>
  </si>
  <si>
    <t xml:space="preserve">Pavement, Roofs, and other impervious </t>
  </si>
  <si>
    <t>Instructions</t>
  </si>
  <si>
    <t>Existing</t>
  </si>
  <si>
    <t>Redeveloped</t>
  </si>
  <si>
    <t>New</t>
  </si>
  <si>
    <t>Impervious</t>
  </si>
  <si>
    <t>Site Area</t>
  </si>
  <si>
    <t>Recharge</t>
  </si>
  <si>
    <t>Water Quality</t>
  </si>
  <si>
    <t>STP</t>
  </si>
  <si>
    <t>Tier</t>
  </si>
  <si>
    <t>Tier 2</t>
  </si>
  <si>
    <t>Tier 3</t>
  </si>
  <si>
    <t>Justification Required</t>
  </si>
  <si>
    <t>Standard met?</t>
  </si>
  <si>
    <t>Required</t>
  </si>
  <si>
    <t>Provided</t>
  </si>
  <si>
    <t>must be filled out by the designer</t>
  </si>
  <si>
    <t>Grey boxes</t>
  </si>
  <si>
    <r>
      <t>WQ</t>
    </r>
    <r>
      <rPr>
        <vertAlign val="subscript"/>
        <sz val="11"/>
        <color theme="1"/>
        <rFont val="Calibri"/>
        <family val="2"/>
        <scheme val="minor"/>
      </rPr>
      <t>V</t>
    </r>
    <r>
      <rPr>
        <sz val="11"/>
        <color theme="1"/>
        <rFont val="Calibri"/>
        <family val="2"/>
        <scheme val="minor"/>
      </rPr>
      <t xml:space="preserve"> Provided (ac-ft)</t>
    </r>
  </si>
  <si>
    <r>
      <t>CN</t>
    </r>
    <r>
      <rPr>
        <vertAlign val="subscript"/>
        <sz val="11"/>
        <color theme="1"/>
        <rFont val="Calibri"/>
        <family val="2"/>
        <scheme val="minor"/>
      </rPr>
      <t>Adj</t>
    </r>
    <r>
      <rPr>
        <sz val="11"/>
        <color theme="1"/>
        <rFont val="Calibri"/>
        <family val="2"/>
        <scheme val="minor"/>
      </rPr>
      <t xml:space="preserve"> in Tc is currently restricted to 50-95, consistent with NEH, Part 630.  If the CN</t>
    </r>
    <r>
      <rPr>
        <vertAlign val="subscript"/>
        <sz val="11"/>
        <color theme="1"/>
        <rFont val="Calibri"/>
        <family val="2"/>
        <scheme val="minor"/>
      </rPr>
      <t>Adj</t>
    </r>
    <r>
      <rPr>
        <sz val="11"/>
        <color theme="1"/>
        <rFont val="Calibri"/>
        <family val="2"/>
        <scheme val="minor"/>
      </rPr>
      <t xml:space="preserve"> falls outside this range, the outer bound of the range is used.</t>
    </r>
  </si>
  <si>
    <r>
      <t>WQ</t>
    </r>
    <r>
      <rPr>
        <vertAlign val="subscript"/>
        <sz val="11"/>
        <color theme="1"/>
        <rFont val="Calibri"/>
        <family val="2"/>
        <scheme val="minor"/>
      </rPr>
      <t>V</t>
    </r>
    <r>
      <rPr>
        <sz val="11"/>
        <color theme="1"/>
        <rFont val="Calibri"/>
        <family val="2"/>
        <scheme val="minor"/>
      </rPr>
      <t xml:space="preserve"> to be met with Tier 2 and/or Tier 3 practices</t>
    </r>
  </si>
  <si>
    <t>OR</t>
  </si>
  <si>
    <t>Extended Detention STP:</t>
  </si>
  <si>
    <t>Site Summary</t>
  </si>
  <si>
    <r>
      <t>Total WQ</t>
    </r>
    <r>
      <rPr>
        <vertAlign val="subscript"/>
        <sz val="11"/>
        <color theme="1"/>
        <rFont val="Calibri"/>
        <family val="2"/>
        <scheme val="minor"/>
      </rPr>
      <t xml:space="preserve">V </t>
    </r>
    <r>
      <rPr>
        <sz val="11"/>
        <color theme="1"/>
        <rFont val="Calibri"/>
        <family val="2"/>
        <scheme val="minor"/>
      </rPr>
      <t>Provided (ac-ft)</t>
    </r>
  </si>
  <si>
    <t>SN5</t>
  </si>
  <si>
    <t>SN6</t>
  </si>
  <si>
    <t>SN7</t>
  </si>
  <si>
    <t>SN8</t>
  </si>
  <si>
    <t>SN9</t>
  </si>
  <si>
    <t>All Redevelopment</t>
  </si>
  <si>
    <t>Tier 2 &amp; 3 Water Quality Practice</t>
  </si>
  <si>
    <t>Downstream analysis</t>
  </si>
  <si>
    <t>Hotspot land use</t>
  </si>
  <si>
    <t>Minimum WQ depth</t>
  </si>
  <si>
    <t>Yes</t>
  </si>
  <si>
    <t>No</t>
  </si>
  <si>
    <r>
      <t>T</t>
    </r>
    <r>
      <rPr>
        <vertAlign val="subscript"/>
        <sz val="11"/>
        <color theme="1"/>
        <rFont val="Calibri"/>
        <family val="2"/>
        <scheme val="minor"/>
      </rPr>
      <t>V</t>
    </r>
    <r>
      <rPr>
        <sz val="11"/>
        <color theme="1"/>
        <rFont val="Calibri"/>
        <family val="2"/>
        <scheme val="minor"/>
      </rPr>
      <t xml:space="preserve"> (ac-ft)</t>
    </r>
  </si>
  <si>
    <t xml:space="preserve"> Recharge Notes:</t>
  </si>
  <si>
    <t>Water Quality Notes:</t>
  </si>
  <si>
    <t>Channel Protection Notes:</t>
  </si>
  <si>
    <t>Overbank Flood Notes:</t>
  </si>
  <si>
    <t>Extreme Flood Notes:</t>
  </si>
  <si>
    <t>Latitude (decimal degrees to five decimal places)</t>
  </si>
  <si>
    <t>Blue boxes</t>
  </si>
  <si>
    <t>Yellow boxes</t>
  </si>
  <si>
    <t>may be filled out by the designer, but are optional</t>
  </si>
  <si>
    <t>Project Name</t>
  </si>
  <si>
    <t>Longitude  (decimal degrees to five decimal places)</t>
  </si>
  <si>
    <t>contain values calculated from the information entered in the blue boxes</t>
  </si>
  <si>
    <t>If you have questions regarding the completion of the workbook, contact the stormwater program:</t>
  </si>
  <si>
    <t>Stormwater Technical Reviewers</t>
  </si>
  <si>
    <t>Channel Protection</t>
  </si>
  <si>
    <r>
      <t>The Alternative Extended Detention Method (</t>
    </r>
    <r>
      <rPr>
        <sz val="11"/>
        <color theme="1"/>
        <rFont val="Calibri"/>
        <family val="2"/>
      </rPr>
      <t xml:space="preserve">§2.2.5.4) </t>
    </r>
    <r>
      <rPr>
        <sz val="11"/>
        <color theme="1"/>
        <rFont val="Calibri"/>
        <family val="2"/>
        <scheme val="minor"/>
      </rPr>
      <t>is being used.</t>
    </r>
  </si>
  <si>
    <t>Method</t>
  </si>
  <si>
    <t>Overbank Flood Protection</t>
  </si>
  <si>
    <t>Notes</t>
  </si>
  <si>
    <t>Printing/PDF Instructions</t>
  </si>
  <si>
    <t>Waiver</t>
  </si>
  <si>
    <t>Waiver Name</t>
  </si>
  <si>
    <t>Short Name</t>
  </si>
  <si>
    <t>&lt;2 cfs</t>
  </si>
  <si>
    <t>&lt;2cfs</t>
  </si>
  <si>
    <t>Re-dev</t>
  </si>
  <si>
    <t>≥10 sq mi</t>
  </si>
  <si>
    <t>Down-stream Analysis</t>
  </si>
  <si>
    <t>&lt; 10 ac impervious</t>
  </si>
  <si>
    <t>Extreme Flood Protection</t>
  </si>
  <si>
    <t>Pre-Dev Q (cfs)</t>
  </si>
  <si>
    <t>Routed, Post-Dev Q (cfs)</t>
  </si>
  <si>
    <t>In order to select specific tabs of this worksheet to print or save as a pdf, hold down control while clicking on the desired tabs. The summary tab and any discharge points used in the project must be included with the permit application.</t>
  </si>
  <si>
    <t>Notes:</t>
  </si>
  <si>
    <t>The name above will appear on all the discharge point tabs</t>
  </si>
  <si>
    <t>Net Reduced Impervious</t>
  </si>
  <si>
    <r>
      <t>Is the WQ</t>
    </r>
    <r>
      <rPr>
        <vertAlign val="subscript"/>
        <sz val="11"/>
        <color theme="1"/>
        <rFont val="Calibri"/>
        <family val="2"/>
        <scheme val="minor"/>
      </rPr>
      <t>V</t>
    </r>
    <r>
      <rPr>
        <sz val="11"/>
        <color theme="1"/>
        <rFont val="Calibri"/>
        <family val="2"/>
        <scheme val="minor"/>
      </rPr>
      <t xml:space="preserve"> Standard met?</t>
    </r>
  </si>
  <si>
    <r>
      <t>WQ</t>
    </r>
    <r>
      <rPr>
        <vertAlign val="subscript"/>
        <sz val="11"/>
        <color theme="1"/>
        <rFont val="Calibri"/>
        <family val="2"/>
        <scheme val="minor"/>
      </rPr>
      <t>V</t>
    </r>
    <r>
      <rPr>
        <sz val="11"/>
        <color theme="1"/>
        <rFont val="Calibri"/>
        <family val="2"/>
        <scheme val="minor"/>
      </rPr>
      <t xml:space="preserve"> met with Tier 1 practices</t>
    </r>
  </si>
  <si>
    <t>This workbook is protected so that the user can only edit blue and yellow boxes.</t>
  </si>
  <si>
    <t>General Notes</t>
  </si>
  <si>
    <t>Disconnection to FS/VB</t>
  </si>
  <si>
    <t xml:space="preserve">Reforestation </t>
  </si>
  <si>
    <t>Is all impervious treated by disconnection?</t>
  </si>
  <si>
    <r>
      <rPr>
        <i/>
        <u/>
        <sz val="10"/>
        <color theme="1"/>
        <rFont val="Calibri"/>
        <family val="2"/>
        <scheme val="minor"/>
      </rPr>
      <t>Modeling Info:</t>
    </r>
    <r>
      <rPr>
        <i/>
        <sz val="10"/>
        <color theme="1"/>
        <rFont val="Calibri"/>
        <family val="2"/>
        <scheme val="minor"/>
      </rPr>
      <t xml:space="preserve"> When demonstrating CP compliance with extended detention in a hydrologic model, use the CN and T</t>
    </r>
    <r>
      <rPr>
        <i/>
        <vertAlign val="subscript"/>
        <sz val="10"/>
        <color theme="1"/>
        <rFont val="Calibri"/>
        <family val="2"/>
        <scheme val="minor"/>
      </rPr>
      <t>C</t>
    </r>
    <r>
      <rPr>
        <i/>
        <sz val="10"/>
        <color theme="1"/>
        <rFont val="Calibri"/>
        <family val="2"/>
        <scheme val="minor"/>
      </rPr>
      <t xml:space="preserve"> below if the practice being modelled is not a Tier 1 practice.  The CN</t>
    </r>
    <r>
      <rPr>
        <i/>
        <vertAlign val="subscript"/>
        <sz val="10"/>
        <color theme="1"/>
        <rFont val="Calibri"/>
        <family val="2"/>
        <scheme val="minor"/>
      </rPr>
      <t>Adj</t>
    </r>
    <r>
      <rPr>
        <i/>
        <sz val="10"/>
        <color theme="1"/>
        <rFont val="Calibri"/>
        <family val="2"/>
        <scheme val="minor"/>
      </rPr>
      <t xml:space="preserve"> takes into account the reduction in runoff volume achieved through Tier 1 practices.  The T</t>
    </r>
    <r>
      <rPr>
        <i/>
        <vertAlign val="subscript"/>
        <sz val="10"/>
        <color theme="1"/>
        <rFont val="Calibri"/>
        <family val="2"/>
        <scheme val="minor"/>
      </rPr>
      <t>C</t>
    </r>
    <r>
      <rPr>
        <i/>
        <sz val="10"/>
        <color theme="1"/>
        <rFont val="Calibri"/>
        <family val="2"/>
        <scheme val="minor"/>
      </rPr>
      <t xml:space="preserve"> is calculated by the watershed lag method using CN</t>
    </r>
    <r>
      <rPr>
        <i/>
        <vertAlign val="subscript"/>
        <sz val="10"/>
        <color theme="1"/>
        <rFont val="Calibri"/>
        <family val="2"/>
        <scheme val="minor"/>
      </rPr>
      <t>Adj</t>
    </r>
    <r>
      <rPr>
        <i/>
        <sz val="10"/>
        <color theme="1"/>
        <rFont val="Calibri"/>
        <family val="2"/>
        <scheme val="minor"/>
      </rPr>
      <t xml:space="preserve"> as CN'.</t>
    </r>
  </si>
  <si>
    <r>
      <rPr>
        <i/>
        <u/>
        <sz val="10"/>
        <color theme="1"/>
        <rFont val="Calibri"/>
        <family val="2"/>
        <scheme val="minor"/>
      </rPr>
      <t>Modeling Info:</t>
    </r>
    <r>
      <rPr>
        <i/>
        <sz val="10"/>
        <color theme="1"/>
        <rFont val="Calibri"/>
        <family val="2"/>
        <scheme val="minor"/>
      </rPr>
      <t xml:space="preserve"> When demonstrating Q</t>
    </r>
    <r>
      <rPr>
        <i/>
        <vertAlign val="subscript"/>
        <sz val="10"/>
        <color theme="1"/>
        <rFont val="Calibri"/>
        <family val="2"/>
        <scheme val="minor"/>
      </rPr>
      <t>P10</t>
    </r>
    <r>
      <rPr>
        <i/>
        <sz val="10"/>
        <color theme="1"/>
        <rFont val="Calibri"/>
        <family val="2"/>
        <scheme val="minor"/>
      </rPr>
      <t xml:space="preserve"> compliance in a hydrologic model, use the following CN and T</t>
    </r>
    <r>
      <rPr>
        <i/>
        <vertAlign val="subscript"/>
        <sz val="10"/>
        <color theme="1"/>
        <rFont val="Calibri"/>
        <family val="2"/>
        <scheme val="minor"/>
      </rPr>
      <t>C</t>
    </r>
    <r>
      <rPr>
        <i/>
        <sz val="10"/>
        <color theme="1"/>
        <rFont val="Calibri"/>
        <family val="2"/>
        <scheme val="minor"/>
      </rPr>
      <t xml:space="preserve"> below, if the practice used to meet Q</t>
    </r>
    <r>
      <rPr>
        <i/>
        <vertAlign val="subscript"/>
        <sz val="10"/>
        <color theme="1"/>
        <rFont val="Calibri"/>
        <family val="2"/>
        <scheme val="minor"/>
      </rPr>
      <t xml:space="preserve">P10 </t>
    </r>
    <r>
      <rPr>
        <i/>
        <sz val="10"/>
        <color theme="1"/>
        <rFont val="Calibri"/>
        <family val="2"/>
        <scheme val="minor"/>
      </rPr>
      <t>is not itself a Tier 1 practice.  The CN</t>
    </r>
    <r>
      <rPr>
        <i/>
        <vertAlign val="subscript"/>
        <sz val="10"/>
        <color theme="1"/>
        <rFont val="Calibri"/>
        <family val="2"/>
        <scheme val="minor"/>
      </rPr>
      <t>Adj</t>
    </r>
    <r>
      <rPr>
        <i/>
        <sz val="10"/>
        <color theme="1"/>
        <rFont val="Calibri"/>
        <family val="2"/>
        <scheme val="minor"/>
      </rPr>
      <t xml:space="preserve"> takes into account the reduction in runoff volume achieved through Tier 1 practices.  The T</t>
    </r>
    <r>
      <rPr>
        <i/>
        <vertAlign val="subscript"/>
        <sz val="10"/>
        <color theme="1"/>
        <rFont val="Calibri"/>
        <family val="2"/>
        <scheme val="minor"/>
      </rPr>
      <t>C</t>
    </r>
    <r>
      <rPr>
        <i/>
        <sz val="10"/>
        <color theme="1"/>
        <rFont val="Calibri"/>
        <family val="2"/>
        <scheme val="minor"/>
      </rPr>
      <t xml:space="preserve"> is calculated by the watershed lag method using CN</t>
    </r>
    <r>
      <rPr>
        <i/>
        <vertAlign val="subscript"/>
        <sz val="10"/>
        <color theme="1"/>
        <rFont val="Calibri"/>
        <family val="2"/>
        <scheme val="minor"/>
      </rPr>
      <t>Adj</t>
    </r>
    <r>
      <rPr>
        <i/>
        <sz val="10"/>
        <color theme="1"/>
        <rFont val="Calibri"/>
        <family val="2"/>
        <scheme val="minor"/>
      </rPr>
      <t xml:space="preserve"> as CN'.</t>
    </r>
  </si>
  <si>
    <t>Bioretention (infiltrating)</t>
  </si>
  <si>
    <t>Bioretention (not designed to infiltrate)</t>
  </si>
  <si>
    <r>
      <t>List all Tier 1 practices below with the associated treatment volume (T</t>
    </r>
    <r>
      <rPr>
        <i/>
        <vertAlign val="subscript"/>
        <sz val="10"/>
        <color theme="1"/>
        <rFont val="Calibri"/>
        <family val="2"/>
        <scheme val="minor"/>
      </rPr>
      <t>V</t>
    </r>
    <r>
      <rPr>
        <i/>
        <sz val="10"/>
        <color theme="1"/>
        <rFont val="Calibri"/>
        <family val="2"/>
        <scheme val="minor"/>
      </rPr>
      <t>).  The T</t>
    </r>
    <r>
      <rPr>
        <i/>
        <vertAlign val="subscript"/>
        <sz val="10"/>
        <color theme="1"/>
        <rFont val="Calibri"/>
        <family val="2"/>
        <scheme val="minor"/>
      </rPr>
      <t>V</t>
    </r>
    <r>
      <rPr>
        <i/>
        <sz val="10"/>
        <color theme="1"/>
        <rFont val="Calibri"/>
        <family val="2"/>
        <scheme val="minor"/>
      </rPr>
      <t xml:space="preserve"> will be applied to all treatment standards, except for Green Roofs, which do not receive recharge or water quality credit. Please include the appropriate STP worksheet(s) with the application.</t>
    </r>
  </si>
  <si>
    <r>
      <rPr>
        <i/>
        <u/>
        <sz val="10"/>
        <color theme="1"/>
        <rFont val="Calibri"/>
        <family val="2"/>
        <scheme val="minor"/>
      </rPr>
      <t>Modeling Info:</t>
    </r>
    <r>
      <rPr>
        <i/>
        <sz val="10"/>
        <color theme="1"/>
        <rFont val="Calibri"/>
        <family val="2"/>
        <scheme val="minor"/>
      </rPr>
      <t xml:space="preserve"> When demonstrating Q</t>
    </r>
    <r>
      <rPr>
        <i/>
        <vertAlign val="subscript"/>
        <sz val="10"/>
        <color theme="1"/>
        <rFont val="Calibri"/>
        <family val="2"/>
        <scheme val="minor"/>
      </rPr>
      <t>P100</t>
    </r>
    <r>
      <rPr>
        <i/>
        <sz val="10"/>
        <color theme="1"/>
        <rFont val="Calibri"/>
        <family val="2"/>
        <scheme val="minor"/>
      </rPr>
      <t xml:space="preserve"> compliance in a hydrologic model, use the following CN and T</t>
    </r>
    <r>
      <rPr>
        <i/>
        <vertAlign val="subscript"/>
        <sz val="10"/>
        <color theme="1"/>
        <rFont val="Calibri"/>
        <family val="2"/>
        <scheme val="minor"/>
      </rPr>
      <t>C</t>
    </r>
    <r>
      <rPr>
        <i/>
        <sz val="10"/>
        <color theme="1"/>
        <rFont val="Calibri"/>
        <family val="2"/>
        <scheme val="minor"/>
      </rPr>
      <t xml:space="preserve"> below, if the practice used to meet Q</t>
    </r>
    <r>
      <rPr>
        <i/>
        <vertAlign val="subscript"/>
        <sz val="10"/>
        <color theme="1"/>
        <rFont val="Calibri"/>
        <family val="2"/>
        <scheme val="minor"/>
      </rPr>
      <t>P100</t>
    </r>
    <r>
      <rPr>
        <i/>
        <sz val="10"/>
        <color theme="1"/>
        <rFont val="Calibri"/>
        <family val="2"/>
        <scheme val="minor"/>
      </rPr>
      <t xml:space="preserve"> is not a Tier 1 practice.  The CN</t>
    </r>
    <r>
      <rPr>
        <i/>
        <vertAlign val="subscript"/>
        <sz val="10"/>
        <color theme="1"/>
        <rFont val="Calibri"/>
        <family val="2"/>
        <scheme val="minor"/>
      </rPr>
      <t>Adj</t>
    </r>
    <r>
      <rPr>
        <i/>
        <sz val="10"/>
        <color theme="1"/>
        <rFont val="Calibri"/>
        <family val="2"/>
        <scheme val="minor"/>
      </rPr>
      <t xml:space="preserve"> takes into account the reduction in runoff volume achieved through runoff reduction practices.  The T</t>
    </r>
    <r>
      <rPr>
        <i/>
        <vertAlign val="subscript"/>
        <sz val="10"/>
        <color theme="1"/>
        <rFont val="Calibri"/>
        <family val="2"/>
        <scheme val="minor"/>
      </rPr>
      <t>C</t>
    </r>
    <r>
      <rPr>
        <i/>
        <sz val="10"/>
        <color theme="1"/>
        <rFont val="Calibri"/>
        <family val="2"/>
        <scheme val="minor"/>
      </rPr>
      <t xml:space="preserve"> is calculated by the watershed lag method using CN</t>
    </r>
    <r>
      <rPr>
        <i/>
        <vertAlign val="subscript"/>
        <sz val="10"/>
        <color theme="1"/>
        <rFont val="Calibri"/>
        <family val="2"/>
        <scheme val="minor"/>
      </rPr>
      <t>Adj</t>
    </r>
    <r>
      <rPr>
        <i/>
        <sz val="10"/>
        <color theme="1"/>
        <rFont val="Calibri"/>
        <family val="2"/>
        <scheme val="minor"/>
      </rPr>
      <t xml:space="preserve"> as CN'.</t>
    </r>
  </si>
  <si>
    <t>Pre Development</t>
  </si>
  <si>
    <t>Post Development</t>
  </si>
  <si>
    <t>Hydraulic Length, l (ft)</t>
  </si>
  <si>
    <t>Average Catchment Slope, Y (%)</t>
  </si>
  <si>
    <t>Total Impervious for Permit Coverage</t>
  </si>
  <si>
    <r>
      <t>WQ</t>
    </r>
    <r>
      <rPr>
        <vertAlign val="subscript"/>
        <sz val="11"/>
        <color theme="1"/>
        <rFont val="Calibri"/>
        <family val="2"/>
        <scheme val="minor"/>
      </rPr>
      <t>V</t>
    </r>
    <r>
      <rPr>
        <sz val="11"/>
        <color theme="1"/>
        <rFont val="Calibri"/>
        <family val="2"/>
        <scheme val="minor"/>
      </rPr>
      <t xml:space="preserve"> - New &amp; Existing</t>
    </r>
  </si>
  <si>
    <r>
      <t>WQ</t>
    </r>
    <r>
      <rPr>
        <vertAlign val="subscript"/>
        <sz val="11"/>
        <color theme="1"/>
        <rFont val="Calibri"/>
        <family val="2"/>
        <scheme val="minor"/>
      </rPr>
      <t>V -</t>
    </r>
    <r>
      <rPr>
        <sz val="11"/>
        <color theme="1"/>
        <rFont val="Calibri"/>
        <family val="2"/>
        <scheme val="minor"/>
      </rPr>
      <t xml:space="preserve"> Redevelopment</t>
    </r>
  </si>
  <si>
    <r>
      <t>Post Development T</t>
    </r>
    <r>
      <rPr>
        <vertAlign val="subscript"/>
        <sz val="11"/>
        <color theme="1"/>
        <rFont val="Calibri"/>
        <family val="2"/>
        <scheme val="minor"/>
      </rPr>
      <t xml:space="preserve">C </t>
    </r>
    <r>
      <rPr>
        <sz val="11"/>
        <color theme="1"/>
        <rFont val="Calibri"/>
        <family val="2"/>
        <scheme val="minor"/>
      </rPr>
      <t>(min)</t>
    </r>
  </si>
  <si>
    <t xml:space="preserve"> Pre-Development CN (Flow-weighted composite)</t>
  </si>
  <si>
    <r>
      <t>Pre Development T</t>
    </r>
    <r>
      <rPr>
        <vertAlign val="subscript"/>
        <sz val="10"/>
        <color theme="1"/>
        <rFont val="Calibri"/>
        <family val="2"/>
        <scheme val="minor"/>
      </rPr>
      <t>C</t>
    </r>
    <r>
      <rPr>
        <sz val="10"/>
        <color theme="1"/>
        <rFont val="Calibri"/>
        <family val="2"/>
        <scheme val="minor"/>
      </rPr>
      <t xml:space="preserve"> (min)</t>
    </r>
  </si>
  <si>
    <r>
      <t>A minimum WQ</t>
    </r>
    <r>
      <rPr>
        <i/>
        <vertAlign val="subscript"/>
        <sz val="10"/>
        <color theme="1"/>
        <rFont val="Calibri"/>
        <family val="2"/>
        <scheme val="minor"/>
      </rPr>
      <t>V</t>
    </r>
    <r>
      <rPr>
        <i/>
        <sz val="10"/>
        <color theme="1"/>
        <rFont val="Calibri"/>
        <family val="2"/>
        <scheme val="minor"/>
      </rPr>
      <t xml:space="preserve"> of 0.2" (P*R</t>
    </r>
    <r>
      <rPr>
        <i/>
        <vertAlign val="subscript"/>
        <sz val="10"/>
        <color theme="1"/>
        <rFont val="Calibri"/>
        <family val="2"/>
        <scheme val="minor"/>
      </rPr>
      <t>V</t>
    </r>
    <r>
      <rPr>
        <i/>
        <sz val="10"/>
        <color theme="1"/>
        <rFont val="Calibri"/>
        <family val="2"/>
        <scheme val="minor"/>
      </rPr>
      <t>) is required for sites with low impervious (&lt;16.67%).  This calculation has not been incorporated into this workbook. Designers should check that the minimum WQ</t>
    </r>
    <r>
      <rPr>
        <i/>
        <vertAlign val="subscript"/>
        <sz val="10"/>
        <color theme="1"/>
        <rFont val="Calibri"/>
        <family val="2"/>
        <scheme val="minor"/>
      </rPr>
      <t>V</t>
    </r>
    <r>
      <rPr>
        <i/>
        <sz val="10"/>
        <color theme="1"/>
        <rFont val="Calibri"/>
        <family val="2"/>
        <scheme val="minor"/>
      </rPr>
      <t xml:space="preserve"> has been met for their site.</t>
    </r>
  </si>
  <si>
    <t>Standard Applies?</t>
  </si>
  <si>
    <r>
      <t>T</t>
    </r>
    <r>
      <rPr>
        <vertAlign val="subscript"/>
        <sz val="11"/>
        <color theme="1"/>
        <rFont val="Calibri"/>
        <family val="2"/>
        <scheme val="minor"/>
      </rPr>
      <t>V</t>
    </r>
    <r>
      <rPr>
        <sz val="11"/>
        <color theme="1"/>
        <rFont val="Calibri"/>
        <family val="2"/>
        <scheme val="minor"/>
      </rPr>
      <t xml:space="preserve"> Provided</t>
    </r>
  </si>
  <si>
    <r>
      <t>HC</t>
    </r>
    <r>
      <rPr>
        <vertAlign val="subscript"/>
        <sz val="11"/>
        <color theme="1"/>
        <rFont val="Calibri"/>
        <family val="2"/>
        <scheme val="minor"/>
      </rPr>
      <t>V</t>
    </r>
    <r>
      <rPr>
        <sz val="11"/>
        <color theme="1"/>
        <rFont val="Calibri"/>
        <family val="2"/>
        <scheme val="minor"/>
      </rPr>
      <t xml:space="preserve"> </t>
    </r>
  </si>
  <si>
    <t>Do not fill this tab out, apart from the project name and notes.  It will auto-populated based on the values on the discharge point tabs. Discharge points (SN) will only show on the summary if an area has been entered on that tab. Areas listed below are those seeking permit coverage.</t>
  </si>
  <si>
    <t>Latitude</t>
  </si>
  <si>
    <t>Longitude</t>
  </si>
  <si>
    <t>(ac-ft)</t>
  </si>
  <si>
    <t>% Removed Existing Impervious (Redevelopment)</t>
  </si>
  <si>
    <t>% Net Reduction</t>
  </si>
  <si>
    <t>Apply Reduction?</t>
  </si>
  <si>
    <t xml:space="preserve">Designers working on a projects with more discharge points should contact their district reviewer. If your project contains fewer discharge points, unneeded tabs may be deleted, but cannot be added back. Excess tabs can also be hidden by right-clicking on the tab label and selecting "hide". </t>
  </si>
  <si>
    <t xml:space="preserve">This workbook is designed to guide you through how to calculate and demonstrate compliance the standards in the 2017 Vermont State Stormwater Manual. Before filling this workbook, you should always refer to the Stormwater Program homepage to ensure that you are using the most recent application materials. </t>
  </si>
  <si>
    <t>Vermont Stormwater Application Materials webpage</t>
  </si>
  <si>
    <r>
      <t>This workbook is comprised of a "Summary" tab and several discharge point tabs labelled SN1, SN2, etc. Fill out one tab for each discharge point in your project. This workbook will be supported by sizing calculations and treatment volume (T</t>
    </r>
    <r>
      <rPr>
        <vertAlign val="subscript"/>
        <sz val="11"/>
        <color theme="1"/>
        <rFont val="Calibri"/>
        <family val="2"/>
        <scheme val="minor"/>
      </rPr>
      <t>V</t>
    </r>
    <r>
      <rPr>
        <sz val="11"/>
        <color theme="1"/>
        <rFont val="Calibri"/>
        <family val="2"/>
        <scheme val="minor"/>
      </rPr>
      <t>) information completed via specific STP worksheets that must also be completed for each practice. The Summary tab provides an overview of how the standards are met across discharge points.</t>
    </r>
  </si>
  <si>
    <r>
      <t xml:space="preserve">This workbook is designed to work with up to nine (9) discharge points or points of interest (POI) which come preloaded. </t>
    </r>
    <r>
      <rPr>
        <b/>
        <sz val="11"/>
        <color theme="1"/>
        <rFont val="Calibri"/>
        <family val="2"/>
        <scheme val="minor"/>
      </rPr>
      <t xml:space="preserve">Changing Discharge Point Names: </t>
    </r>
    <r>
      <rPr>
        <sz val="11"/>
        <color theme="1"/>
        <rFont val="Calibri"/>
        <family val="2"/>
        <scheme val="minor"/>
      </rPr>
      <t xml:space="preserve">If discharge points need to be renamed,  the user must change both the label in line 5 of the summary tab AND the tab label in order for the summary tab to be able to pull data from the right sheet. </t>
    </r>
  </si>
  <si>
    <r>
      <t>Information for Calculating T</t>
    </r>
    <r>
      <rPr>
        <b/>
        <vertAlign val="subscript"/>
        <sz val="12"/>
        <color theme="1"/>
        <rFont val="Calibri"/>
        <family val="2"/>
        <scheme val="minor"/>
      </rPr>
      <t>C</t>
    </r>
    <r>
      <rPr>
        <b/>
        <sz val="12"/>
        <color theme="1"/>
        <rFont val="Calibri"/>
        <family val="2"/>
        <scheme val="minor"/>
      </rPr>
      <t xml:space="preserve"> by the Watershed Lag Method </t>
    </r>
  </si>
  <si>
    <t xml:space="preserve">New Impervious </t>
  </si>
  <si>
    <t>Existing for Permit Coverage (Treated to New Standards)</t>
  </si>
  <si>
    <t>Reduced Existing Impervious (for redevelopment)</t>
  </si>
  <si>
    <t xml:space="preserve">% </t>
  </si>
  <si>
    <t>Existing Impervious Not for Permit Coverage</t>
  </si>
  <si>
    <t>Impervious previously authorized under 2002 VSMM</t>
  </si>
  <si>
    <t>Impervious previously authorized under 2002 VSMM (not included in calculations)</t>
  </si>
  <si>
    <t>Total Pre Site Area</t>
  </si>
  <si>
    <t>Existing Impervious</t>
  </si>
  <si>
    <t>Previously Authorized</t>
  </si>
  <si>
    <t>Receiving Water</t>
  </si>
  <si>
    <t>East Street Industrial Park</t>
  </si>
  <si>
    <t>CPv met in SN1  with Extended Detention, see included model.  CPv met in SN2 with Extended Detention in consideration of Tv provided in upstream practice.  CPv met in SN3 entirely by use of infiltration (Tv).</t>
  </si>
  <si>
    <t>Standard  not met specifically at SN2, but collectively the site meets Overbank Flood Protection in consideration of all practices SN1, SN2, and SN3, all discharging to the same receiving water.  Pre-Dev Q (cfs) in total is 18.16 cfs, Routed, Post-Dev Q (cfs) in total is 14.53 cfs.</t>
  </si>
  <si>
    <t>Total Project Impervious less than 10 acres, including in consideration of overall Common Plan of Development (i.e. industrial park) constructed after 2002, so this standard is not applicable.</t>
  </si>
  <si>
    <t>Class II Wetland Tributary to the Winooski River</t>
  </si>
  <si>
    <t>See modeling report for Extended Dentention of 1-year, 24-hour storm event.</t>
  </si>
  <si>
    <t>Class II Wetland Tributary to Winooski River</t>
  </si>
  <si>
    <t>Impervious areas proposed in this subcatchment are all located on HSG D soils, and thus Groundwater Recharge is not applicable.</t>
  </si>
  <si>
    <t>Qp10 Routed, post development exceeds Pre development in this subcatchment but SN001 and SN003 offset this increase and overall Post-development routed for the project to this receiving water is less than Pre-development.</t>
  </si>
  <si>
    <t>Biortention (Infiltrating)</t>
  </si>
  <si>
    <t>CNadj was NOT USED in post-modeling, since exfiltration WAS used as an outlet in  model.  (Alternatively,  CNadj couild have been used in model, without consideration for exfiltration as outlet.)</t>
  </si>
  <si>
    <t>Groundwater Recharge Standard is being met for other discharge points, that are outside of Stormwater Hotspot landuse, and thus are provided in SN2 and SN3.  Impervious area located within SN1 is also entirely located on HSG D soils.</t>
  </si>
  <si>
    <t>Groundwater Recharge Standard met site-wide, where applicable, as indicated in the "Total" column, as allowable in the 2017 VSMM, despite not meeting specifically for SN1.  SN1 is also considered to be a stormwater hot spot for which this standard would not be applicable.  Areas of the site, including SN1/SN2 proposes new impervoius areas on HSG D soils.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</si>
</sst>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
    <numFmt numFmtId="167" formatCode="0.00000"/>
    <numFmt numFmtId="168" formatCode="0.0000"/>
  </numFmts>
  <fonts count="45" x14ac:knownFonts="1">
    <font>
      <sz val="11"/>
      <color theme="1"/>
      <name val="Calibri"/>
      <family val="2"/>
      <scheme val="minor"/>
    </font>
    <font>
      <sz val="11"/>
      <color rgb="FF3F3F76"/>
      <name val="Calibri"/>
      <family val="2"/>
      <scheme val="minor"/>
    </font>
    <font>
      <b/>
      <sz val="11"/>
      <color rgb="FF3F3F3F"/>
      <name val="Calibri"/>
      <family val="2"/>
      <scheme val="minor"/>
    </font>
    <font>
      <b/>
      <sz val="12"/>
      <color theme="1"/>
      <name val="Calibri"/>
      <family val="2"/>
      <scheme val="minor"/>
    </font>
    <font>
      <vertAlign val="subscript"/>
      <sz val="11"/>
      <color theme="1"/>
      <name val="Calibri"/>
      <family val="2"/>
      <scheme val="minor"/>
    </font>
    <font>
      <sz val="12"/>
      <color theme="1"/>
      <name val="Calibri"/>
      <family val="2"/>
      <scheme val="minor"/>
    </font>
    <font>
      <sz val="12"/>
      <name val="Calibri"/>
      <family val="2"/>
      <scheme val="minor"/>
    </font>
    <font>
      <b/>
      <sz val="14"/>
      <color theme="1"/>
      <name val="Calibri"/>
      <family val="2"/>
      <scheme val="minor"/>
    </font>
    <font>
      <u/>
      <sz val="11"/>
      <color theme="10"/>
      <name val="Calibri"/>
      <family val="2"/>
      <scheme val="minor"/>
    </font>
    <font>
      <b/>
      <sz val="11"/>
      <color theme="1" tint="0.499984740745262"/>
      <name val="Calibri"/>
      <family val="2"/>
      <scheme val="minor"/>
    </font>
    <font>
      <sz val="11"/>
      <color theme="1"/>
      <name val="Calibri"/>
      <family val="2"/>
    </font>
    <font>
      <sz val="11"/>
      <name val="Calibri"/>
      <family val="2"/>
      <scheme val="minor"/>
    </font>
    <font>
      <sz val="11"/>
      <color rgb="FFFF0000"/>
      <name val="Calibri"/>
      <family val="2"/>
      <scheme val="minor"/>
    </font>
    <font>
      <sz val="11"/>
      <color theme="1"/>
      <name val="Calibri"/>
      <family val="2"/>
      <scheme val="minor"/>
    </font>
    <font>
      <sz val="11"/>
      <color theme="0"/>
      <name val="Calibri"/>
      <family val="2"/>
      <scheme val="minor"/>
    </font>
    <font>
      <b/>
      <sz val="11"/>
      <name val="Calibri"/>
      <family val="2"/>
      <scheme val="minor"/>
    </font>
    <font>
      <sz val="8"/>
      <color rgb="FF000000"/>
      <name val="Segoe UI"/>
      <family val="2"/>
    </font>
    <font>
      <sz val="18"/>
      <color theme="1"/>
      <name val="Calibri"/>
      <family val="2"/>
    </font>
    <font>
      <b/>
      <vertAlign val="subscript"/>
      <sz val="12"/>
      <color theme="1"/>
      <name val="Calibri"/>
      <family val="2"/>
      <scheme val="minor"/>
    </font>
    <font>
      <i/>
      <sz val="11"/>
      <color theme="1"/>
      <name val="Calibri"/>
      <family val="2"/>
      <scheme val="minor"/>
    </font>
    <font>
      <b/>
      <sz val="11"/>
      <color theme="1"/>
      <name val="Calibri"/>
      <family val="2"/>
      <scheme val="minor"/>
    </font>
    <font>
      <i/>
      <sz val="10"/>
      <color theme="1"/>
      <name val="Calibri"/>
      <family val="2"/>
      <scheme val="minor"/>
    </font>
    <font>
      <i/>
      <u/>
      <sz val="10"/>
      <color theme="1"/>
      <name val="Calibri"/>
      <family val="2"/>
      <scheme val="minor"/>
    </font>
    <font>
      <i/>
      <vertAlign val="subscript"/>
      <sz val="10"/>
      <color theme="1"/>
      <name val="Calibri"/>
      <family val="2"/>
      <scheme val="minor"/>
    </font>
    <font>
      <b/>
      <vertAlign val="subscript"/>
      <sz val="11"/>
      <name val="Calibri"/>
      <family val="2"/>
      <scheme val="minor"/>
    </font>
    <font>
      <i/>
      <sz val="11"/>
      <color theme="3"/>
      <name val="Calibri"/>
      <family val="2"/>
      <scheme val="minor"/>
    </font>
    <font>
      <sz val="8"/>
      <color theme="1"/>
      <name val="Calibri"/>
      <family val="2"/>
      <scheme val="minor"/>
    </font>
    <font>
      <sz val="10"/>
      <color theme="1"/>
      <name val="Calibri"/>
      <family val="2"/>
      <scheme val="minor"/>
    </font>
    <font>
      <vertAlign val="subscript"/>
      <sz val="10"/>
      <color theme="1"/>
      <name val="Calibri"/>
      <family val="2"/>
      <scheme val="minor"/>
    </font>
    <font>
      <sz val="11"/>
      <color rgb="FFCC0000"/>
      <name val="Calibri"/>
      <family val="2"/>
      <scheme val="minor"/>
    </font>
    <font>
      <sz val="9.5"/>
      <color theme="1"/>
      <name val="Calibri"/>
      <family val="2"/>
      <scheme val="minor"/>
    </font>
    <font>
      <sz val="9.5"/>
      <name val="Calibri"/>
      <family val="2"/>
      <scheme val="minor"/>
    </font>
    <font>
      <b/>
      <sz val="12"/>
      <color theme="1"/>
      <name val="Calibri"/>
      <family val="2"/>
      <scheme val="minor"/>
    </font>
    <font>
      <sz val="11"/>
      <color theme="1"/>
      <name val="Calibri"/>
      <family val="2"/>
      <scheme val="minor"/>
    </font>
    <font>
      <b/>
      <sz val="11"/>
      <color rgb="FF3F3F3F"/>
      <name val="Calibri"/>
      <family val="2"/>
      <scheme val="minor"/>
    </font>
    <font>
      <u/>
      <sz val="11"/>
      <color theme="10"/>
      <name val="Calibri"/>
      <family val="2"/>
      <scheme val="minor"/>
    </font>
    <font>
      <b/>
      <u/>
      <sz val="11"/>
      <name val="Calibri"/>
      <family val="2"/>
      <scheme val="minor"/>
    </font>
    <font>
      <sz val="11"/>
      <name val="Calibri"/>
      <family val="2"/>
      <scheme val="minor"/>
    </font>
    <font>
      <b/>
      <u/>
      <sz val="11"/>
      <color theme="1"/>
      <name val="Calibri"/>
      <family val="2"/>
      <scheme val="minor"/>
    </font>
    <font>
      <sz val="9"/>
      <color theme="3"/>
      <name val="Calibri"/>
      <family val="2"/>
      <scheme val="minor"/>
    </font>
    <font>
      <b/>
      <sz val="11"/>
      <color rgb="FFC00000"/>
      <name val="Calibri"/>
      <family val="2"/>
      <scheme val="minor"/>
    </font>
    <font>
      <b/>
      <sz val="12"/>
      <color theme="1" tint="0.249977111117893"/>
      <name val="Calibri"/>
      <family val="2"/>
      <scheme val="minor"/>
    </font>
    <font>
      <sz val="9"/>
      <color indexed="81"/>
      <name val="Tahoma"/>
      <family val="2"/>
    </font>
    <font>
      <i/>
      <sz val="11"/>
      <color rgb="FFC00000"/>
      <name val="Calibri"/>
      <family val="2"/>
      <scheme val="minor"/>
    </font>
    <font>
      <sz val="9"/>
      <color theme="1"/>
      <name val="Calibri"/>
      <family val="2"/>
      <scheme val="minor"/>
    </font>
  </fonts>
  <fills count="11">
    <fill>
      <patternFill patternType="none"/>
    </fill>
    <fill>
      <patternFill patternType="gray125"/>
    </fill>
    <fill>
      <patternFill patternType="solid">
        <fgColor rgb="FFFFCC99"/>
      </patternFill>
    </fill>
    <fill>
      <patternFill patternType="solid">
        <fgColor rgb="FFF2F2F2"/>
      </patternFill>
    </fill>
    <fill>
      <patternFill patternType="solid">
        <fgColor theme="0" tint="-0.34998626667073579"/>
        <bgColor indexed="64"/>
      </patternFill>
    </fill>
    <fill>
      <patternFill patternType="solid">
        <fgColor theme="2"/>
        <bgColor indexed="64"/>
      </patternFill>
    </fill>
    <fill>
      <patternFill patternType="solid">
        <fgColor theme="8" tint="0.79998168889431442"/>
        <bgColor indexed="64"/>
      </patternFill>
    </fill>
    <fill>
      <patternFill patternType="solid">
        <fgColor rgb="FFFDF7D9"/>
        <bgColor indexed="64"/>
      </patternFill>
    </fill>
    <fill>
      <patternFill patternType="solid">
        <fgColor rgb="FFFCF7D9"/>
        <bgColor indexed="64"/>
      </patternFill>
    </fill>
    <fill>
      <patternFill patternType="solid">
        <fgColor theme="0" tint="-4.9989318521683403E-2"/>
        <bgColor indexed="64"/>
      </patternFill>
    </fill>
    <fill>
      <patternFill patternType="lightUp">
        <fgColor theme="0" tint="-0.499984740745262"/>
        <bgColor indexed="65"/>
      </patternFill>
    </fill>
  </fills>
  <borders count="5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rgb="FF3F3F3F"/>
      </left>
      <right style="thin">
        <color rgb="FF3F3F3F"/>
      </right>
      <top/>
      <bottom style="thin">
        <color rgb="FF3F3F3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top/>
      <bottom/>
      <diagonal/>
    </border>
    <border>
      <left style="thin">
        <color indexed="64"/>
      </left>
      <right style="thin">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right/>
      <top style="thin">
        <color rgb="FF3F3F3F"/>
      </top>
      <bottom/>
      <diagonal/>
    </border>
    <border>
      <left/>
      <right style="thin">
        <color rgb="FF3F3F3F"/>
      </right>
      <top/>
      <bottom/>
      <diagonal/>
    </border>
    <border>
      <left style="double">
        <color indexed="64"/>
      </left>
      <right style="thin">
        <color indexed="64"/>
      </right>
      <top style="thin">
        <color indexed="64"/>
      </top>
      <bottom style="thin">
        <color indexed="64"/>
      </bottom>
      <diagonal/>
    </border>
    <border>
      <left style="thin">
        <color rgb="FF3F3F3F"/>
      </left>
      <right style="thin">
        <color rgb="FF3F3F3F"/>
      </right>
      <top style="thin">
        <color rgb="FF3F3F3F"/>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rgb="FF3F3F3F"/>
      </top>
      <bottom style="thin">
        <color rgb="FF3F3F3F"/>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rgb="FF3F3F3F"/>
      </left>
      <right/>
      <top/>
      <bottom style="thin">
        <color indexed="64"/>
      </bottom>
      <diagonal/>
    </border>
    <border>
      <left/>
      <right style="thin">
        <color rgb="FF3F3F3F"/>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style="medium">
        <color indexed="64"/>
      </top>
      <bottom style="medium">
        <color indexed="64"/>
      </bottom>
      <diagonal/>
    </border>
  </borders>
  <cellStyleXfs count="5">
    <xf numFmtId="0" fontId="0" fillId="0" borderId="0"/>
    <xf numFmtId="0" fontId="1" fillId="2" borderId="1" applyNumberFormat="0" applyAlignment="0" applyProtection="0"/>
    <xf numFmtId="0" fontId="2" fillId="3" borderId="2" applyNumberFormat="0" applyAlignment="0" applyProtection="0"/>
    <xf numFmtId="0" fontId="8" fillId="0" borderId="0" applyNumberFormat="0" applyFill="0" applyBorder="0" applyAlignment="0" applyProtection="0"/>
    <xf numFmtId="9" fontId="13" fillId="0" borderId="0" applyFont="0" applyFill="0" applyBorder="0" applyAlignment="0" applyProtection="0"/>
  </cellStyleXfs>
  <cellXfs count="439">
    <xf numFmtId="0" fontId="0" fillId="0" borderId="0" xfId="0"/>
    <xf numFmtId="0" fontId="0" fillId="0" borderId="0" xfId="0" applyFill="1" applyBorder="1" applyAlignment="1">
      <alignment horizontal="right"/>
    </xf>
    <xf numFmtId="0" fontId="0" fillId="0" borderId="3" xfId="0" applyBorder="1"/>
    <xf numFmtId="0" fontId="0" fillId="0" borderId="3" xfId="0" applyBorder="1" applyAlignment="1">
      <alignment horizontal="center"/>
    </xf>
    <xf numFmtId="0" fontId="0" fillId="0" borderId="3" xfId="0" applyBorder="1" applyAlignment="1">
      <alignment horizontal="right"/>
    </xf>
    <xf numFmtId="0" fontId="0" fillId="0" borderId="3" xfId="0" applyFill="1" applyBorder="1" applyAlignment="1">
      <alignment horizontal="right"/>
    </xf>
    <xf numFmtId="0" fontId="0" fillId="0" borderId="0" xfId="0" applyFill="1" applyBorder="1" applyAlignment="1">
      <alignment horizontal="left"/>
    </xf>
    <xf numFmtId="0" fontId="0" fillId="0" borderId="0" xfId="0" applyBorder="1" applyAlignment="1">
      <alignment horizontal="center"/>
    </xf>
    <xf numFmtId="0" fontId="0" fillId="0" borderId="0" xfId="0" applyBorder="1" applyAlignment="1">
      <alignment horizontal="left"/>
    </xf>
    <xf numFmtId="0" fontId="0" fillId="0" borderId="3" xfId="0" applyFill="1" applyBorder="1" applyAlignment="1">
      <alignment horizontal="center"/>
    </xf>
    <xf numFmtId="0" fontId="3" fillId="0" borderId="0" xfId="0" applyFont="1" applyFill="1" applyBorder="1" applyAlignment="1">
      <alignment horizontal="left"/>
    </xf>
    <xf numFmtId="0" fontId="3" fillId="0" borderId="0" xfId="0" applyFont="1" applyBorder="1" applyAlignment="1">
      <alignment horizontal="left"/>
    </xf>
    <xf numFmtId="0" fontId="3" fillId="0" borderId="0" xfId="0" applyFont="1" applyAlignment="1">
      <alignment horizontal="left"/>
    </xf>
    <xf numFmtId="0" fontId="0" fillId="0" borderId="0" xfId="0" applyBorder="1"/>
    <xf numFmtId="0" fontId="0" fillId="0" borderId="11" xfId="0" applyBorder="1"/>
    <xf numFmtId="49" fontId="6" fillId="0" borderId="0" xfId="0" applyNumberFormat="1" applyFont="1" applyBorder="1" applyAlignment="1">
      <alignment horizontal="right"/>
    </xf>
    <xf numFmtId="0" fontId="0" fillId="0" borderId="12" xfId="0" applyBorder="1"/>
    <xf numFmtId="0" fontId="0" fillId="0" borderId="13" xfId="0" applyBorder="1"/>
    <xf numFmtId="0" fontId="0" fillId="0" borderId="3" xfId="0" applyBorder="1" applyAlignment="1">
      <alignment horizontal="right" wrapText="1"/>
    </xf>
    <xf numFmtId="0" fontId="0" fillId="0" borderId="0" xfId="0" applyFill="1" applyBorder="1"/>
    <xf numFmtId="0" fontId="0" fillId="0" borderId="0" xfId="0" applyBorder="1" applyAlignment="1">
      <alignment horizontal="right"/>
    </xf>
    <xf numFmtId="0" fontId="7" fillId="0" borderId="0" xfId="0" applyFont="1" applyBorder="1" applyAlignment="1">
      <alignment horizontal="center"/>
    </xf>
    <xf numFmtId="0" fontId="0" fillId="0" borderId="0" xfId="0" applyBorder="1" applyAlignment="1">
      <alignment horizontal="left"/>
    </xf>
    <xf numFmtId="0" fontId="7" fillId="0" borderId="0" xfId="0" applyFont="1" applyBorder="1"/>
    <xf numFmtId="0" fontId="3" fillId="0" borderId="0" xfId="0" applyFont="1" applyBorder="1"/>
    <xf numFmtId="165" fontId="2" fillId="0" borderId="0" xfId="2" applyNumberFormat="1" applyFill="1" applyBorder="1" applyAlignment="1">
      <alignment horizontal="center" vertical="center"/>
    </xf>
    <xf numFmtId="1" fontId="2" fillId="3" borderId="16" xfId="2" applyNumberFormat="1" applyBorder="1" applyAlignment="1">
      <alignment horizontal="center"/>
    </xf>
    <xf numFmtId="165" fontId="2" fillId="0" borderId="3" xfId="2" applyNumberFormat="1" applyFill="1" applyBorder="1" applyAlignment="1">
      <alignment horizontal="center" vertical="center" wrapText="1"/>
    </xf>
    <xf numFmtId="1" fontId="2" fillId="3" borderId="3" xfId="2" applyNumberFormat="1" applyBorder="1" applyAlignment="1">
      <alignment horizontal="center"/>
    </xf>
    <xf numFmtId="165" fontId="9" fillId="4" borderId="3" xfId="2" applyNumberFormat="1" applyFont="1" applyFill="1" applyBorder="1" applyAlignment="1">
      <alignment horizontal="center" vertical="center"/>
    </xf>
    <xf numFmtId="166" fontId="9" fillId="4" borderId="16" xfId="2" applyNumberFormat="1" applyFont="1" applyFill="1" applyBorder="1" applyAlignment="1">
      <alignment horizontal="center"/>
    </xf>
    <xf numFmtId="0" fontId="0" fillId="0" borderId="0" xfId="0" applyBorder="1" applyAlignment="1">
      <alignment horizontal="right" vertical="center" wrapText="1"/>
    </xf>
    <xf numFmtId="0" fontId="7" fillId="0" borderId="0" xfId="0" applyFont="1" applyBorder="1" applyAlignment="1"/>
    <xf numFmtId="165" fontId="2" fillId="0" borderId="0" xfId="2" applyNumberFormat="1" applyFill="1" applyBorder="1"/>
    <xf numFmtId="165" fontId="0" fillId="0" borderId="0" xfId="0" applyNumberFormat="1" applyFill="1" applyBorder="1"/>
    <xf numFmtId="0" fontId="0" fillId="0" borderId="3" xfId="0" applyFill="1" applyBorder="1" applyAlignment="1">
      <alignment horizontal="left"/>
    </xf>
    <xf numFmtId="0" fontId="0" fillId="0" borderId="3" xfId="0" applyFill="1" applyBorder="1"/>
    <xf numFmtId="0" fontId="0" fillId="5" borderId="3" xfId="0" applyFill="1" applyBorder="1"/>
    <xf numFmtId="0" fontId="0" fillId="5" borderId="3" xfId="0" applyFont="1" applyFill="1" applyBorder="1" applyAlignment="1">
      <alignment horizontal="right"/>
    </xf>
    <xf numFmtId="0" fontId="0" fillId="5" borderId="3" xfId="0" applyFill="1" applyBorder="1" applyAlignment="1">
      <alignment horizontal="center"/>
    </xf>
    <xf numFmtId="0" fontId="0" fillId="5" borderId="3" xfId="0" applyFill="1" applyBorder="1" applyAlignment="1">
      <alignment horizontal="right"/>
    </xf>
    <xf numFmtId="0" fontId="0" fillId="0" borderId="0" xfId="0" applyAlignment="1"/>
    <xf numFmtId="0" fontId="0" fillId="0" borderId="3" xfId="0" applyFill="1" applyBorder="1" applyAlignment="1">
      <alignment wrapText="1"/>
    </xf>
    <xf numFmtId="165" fontId="2" fillId="0" borderId="0" xfId="2" applyNumberFormat="1" applyFill="1" applyBorder="1" applyAlignment="1">
      <alignment horizontal="center" vertical="center" wrapText="1"/>
    </xf>
    <xf numFmtId="0" fontId="0" fillId="0" borderId="3" xfId="0" applyBorder="1" applyAlignment="1">
      <alignment wrapText="1"/>
    </xf>
    <xf numFmtId="49" fontId="11" fillId="0" borderId="0" xfId="0" applyNumberFormat="1" applyFont="1" applyBorder="1" applyAlignment="1">
      <alignment horizontal="right"/>
    </xf>
    <xf numFmtId="49" fontId="11" fillId="0" borderId="0" xfId="0" applyNumberFormat="1" applyFont="1" applyFill="1" applyBorder="1" applyAlignment="1">
      <alignment horizontal="right"/>
    </xf>
    <xf numFmtId="0" fontId="15" fillId="0" borderId="7" xfId="0" applyFont="1" applyFill="1" applyBorder="1" applyAlignment="1">
      <alignment horizontal="center" vertical="center"/>
    </xf>
    <xf numFmtId="0" fontId="15" fillId="0" borderId="7" xfId="1" applyFont="1" applyFill="1" applyBorder="1" applyAlignment="1">
      <alignment horizontal="center" vertical="center"/>
    </xf>
    <xf numFmtId="0" fontId="0" fillId="0" borderId="0" xfId="0" applyAlignment="1">
      <alignment vertical="center"/>
    </xf>
    <xf numFmtId="0" fontId="0" fillId="5" borderId="3" xfId="0" applyFill="1" applyBorder="1" applyAlignment="1">
      <alignment horizontal="center" vertical="center" wrapText="1"/>
    </xf>
    <xf numFmtId="0" fontId="0" fillId="5" borderId="3" xfId="0" applyFill="1" applyBorder="1" applyAlignment="1">
      <alignment horizontal="center" vertical="center"/>
    </xf>
    <xf numFmtId="0" fontId="0" fillId="0" borderId="17" xfId="0" applyBorder="1"/>
    <xf numFmtId="0" fontId="0" fillId="0" borderId="21" xfId="0" applyFill="1" applyBorder="1"/>
    <xf numFmtId="0" fontId="0" fillId="0" borderId="0" xfId="0" applyBorder="1" applyAlignment="1">
      <alignment horizontal="left" vertical="center" wrapText="1"/>
    </xf>
    <xf numFmtId="0" fontId="0" fillId="0" borderId="0" xfId="0" applyFill="1" applyBorder="1" applyAlignment="1">
      <alignment horizontal="center" vertical="center" wrapText="1"/>
    </xf>
    <xf numFmtId="0" fontId="3" fillId="0" borderId="8" xfId="0" applyFont="1" applyBorder="1"/>
    <xf numFmtId="0" fontId="0" fillId="0" borderId="9" xfId="0" applyBorder="1"/>
    <xf numFmtId="0" fontId="0" fillId="0" borderId="10" xfId="0" applyBorder="1"/>
    <xf numFmtId="0" fontId="0" fillId="0" borderId="11" xfId="0" applyBorder="1" applyAlignment="1">
      <alignment horizontal="right" vertical="center"/>
    </xf>
    <xf numFmtId="0" fontId="0" fillId="0" borderId="22" xfId="0" applyBorder="1"/>
    <xf numFmtId="0" fontId="0" fillId="0" borderId="11" xfId="0" applyBorder="1" applyAlignment="1">
      <alignment horizontal="right" vertical="center" wrapText="1"/>
    </xf>
    <xf numFmtId="165" fontId="2" fillId="3" borderId="2" xfId="2" applyNumberFormat="1" applyBorder="1" applyAlignment="1">
      <alignment horizontal="center" vertical="center"/>
    </xf>
    <xf numFmtId="0" fontId="0" fillId="0" borderId="0" xfId="0" applyBorder="1" applyAlignment="1">
      <alignment vertical="center"/>
    </xf>
    <xf numFmtId="0" fontId="0" fillId="0" borderId="22" xfId="0" applyBorder="1" applyAlignment="1">
      <alignment vertical="center"/>
    </xf>
    <xf numFmtId="0" fontId="17" fillId="0" borderId="0" xfId="0" applyFont="1" applyBorder="1" applyAlignment="1">
      <alignment horizontal="center" vertical="center"/>
    </xf>
    <xf numFmtId="0" fontId="0" fillId="0" borderId="11" xfId="0" applyFill="1" applyBorder="1" applyAlignment="1">
      <alignment horizontal="right" vertical="center" wrapText="1"/>
    </xf>
    <xf numFmtId="0" fontId="0" fillId="0" borderId="11" xfId="0" applyFont="1" applyBorder="1" applyAlignment="1">
      <alignment horizontal="right"/>
    </xf>
    <xf numFmtId="0" fontId="0" fillId="0" borderId="11" xfId="0" applyBorder="1" applyAlignment="1">
      <alignment horizontal="right"/>
    </xf>
    <xf numFmtId="0" fontId="0" fillId="0" borderId="11" xfId="0" applyBorder="1" applyAlignment="1">
      <alignment horizontal="right" wrapText="1"/>
    </xf>
    <xf numFmtId="0" fontId="0" fillId="0" borderId="23" xfId="0" applyBorder="1"/>
    <xf numFmtId="1" fontId="2" fillId="3" borderId="2" xfId="2" applyNumberFormat="1" applyBorder="1" applyAlignment="1">
      <alignment horizontal="center" vertical="center"/>
    </xf>
    <xf numFmtId="166" fontId="2" fillId="3" borderId="2" xfId="2" applyNumberFormat="1" applyBorder="1" applyAlignment="1">
      <alignment horizontal="center" vertical="center"/>
    </xf>
    <xf numFmtId="0" fontId="0" fillId="0" borderId="0" xfId="0" applyBorder="1" applyAlignment="1">
      <alignment vertical="center" wrapText="1"/>
    </xf>
    <xf numFmtId="0" fontId="0" fillId="0" borderId="22" xfId="0" applyBorder="1" applyAlignment="1">
      <alignment horizontal="center" vertical="center"/>
    </xf>
    <xf numFmtId="164" fontId="2" fillId="3" borderId="3" xfId="2" applyNumberFormat="1" applyBorder="1" applyAlignment="1">
      <alignment horizontal="center"/>
    </xf>
    <xf numFmtId="0" fontId="8" fillId="0" borderId="7" xfId="3" applyFill="1" applyBorder="1" applyAlignment="1">
      <alignment vertical="center"/>
    </xf>
    <xf numFmtId="0" fontId="3" fillId="0" borderId="8" xfId="0" applyFont="1" applyFill="1" applyBorder="1" applyAlignment="1">
      <alignment horizontal="left" vertical="center"/>
    </xf>
    <xf numFmtId="0" fontId="0" fillId="0" borderId="9" xfId="0" applyFill="1" applyBorder="1" applyAlignment="1">
      <alignment horizontal="center" vertical="center"/>
    </xf>
    <xf numFmtId="0" fontId="1" fillId="0" borderId="9" xfId="1" applyFill="1" applyBorder="1" applyAlignment="1">
      <alignment horizontal="center" vertical="center"/>
    </xf>
    <xf numFmtId="0" fontId="3" fillId="0" borderId="11" xfId="0" applyFont="1" applyFill="1" applyBorder="1" applyAlignment="1">
      <alignment horizontal="right" vertical="center"/>
    </xf>
    <xf numFmtId="0" fontId="0" fillId="0" borderId="11" xfId="0" applyFont="1" applyBorder="1" applyAlignment="1">
      <alignment horizontal="right" vertical="center"/>
    </xf>
    <xf numFmtId="166" fontId="9" fillId="4" borderId="2" xfId="2" applyNumberFormat="1" applyFont="1" applyFill="1" applyBorder="1" applyAlignment="1">
      <alignment horizontal="center"/>
    </xf>
    <xf numFmtId="1" fontId="9" fillId="4" borderId="2" xfId="2" applyNumberFormat="1" applyFont="1" applyFill="1" applyBorder="1" applyAlignment="1">
      <alignment horizontal="center"/>
    </xf>
    <xf numFmtId="1" fontId="2" fillId="3" borderId="2" xfId="2" applyNumberFormat="1" applyBorder="1" applyAlignment="1">
      <alignment horizontal="center"/>
    </xf>
    <xf numFmtId="0" fontId="0" fillId="0" borderId="9" xfId="0" applyFill="1" applyBorder="1"/>
    <xf numFmtId="0" fontId="0" fillId="0" borderId="9" xfId="0" applyFill="1" applyBorder="1" applyAlignment="1">
      <alignment horizontal="right"/>
    </xf>
    <xf numFmtId="164" fontId="2" fillId="0" borderId="9" xfId="2" applyNumberFormat="1" applyFill="1" applyBorder="1"/>
    <xf numFmtId="0" fontId="0" fillId="0" borderId="24" xfId="0" applyBorder="1"/>
    <xf numFmtId="0" fontId="0" fillId="0" borderId="13" xfId="0" applyFill="1" applyBorder="1"/>
    <xf numFmtId="0" fontId="0" fillId="0" borderId="13" xfId="0" applyFill="1" applyBorder="1" applyAlignment="1"/>
    <xf numFmtId="0" fontId="3" fillId="0" borderId="11" xfId="0" applyFont="1" applyBorder="1"/>
    <xf numFmtId="0" fontId="0" fillId="0" borderId="13" xfId="0" applyFill="1" applyBorder="1" applyAlignment="1">
      <alignment horizontal="right"/>
    </xf>
    <xf numFmtId="164" fontId="2" fillId="0" borderId="13" xfId="2" applyNumberFormat="1" applyFill="1" applyBorder="1"/>
    <xf numFmtId="166" fontId="5" fillId="0" borderId="9" xfId="0" applyNumberFormat="1" applyFont="1" applyBorder="1" applyAlignment="1">
      <alignment horizontal="center"/>
    </xf>
    <xf numFmtId="1" fontId="5" fillId="0" borderId="9" xfId="0" applyNumberFormat="1" applyFont="1" applyBorder="1" applyAlignment="1">
      <alignment horizontal="center"/>
    </xf>
    <xf numFmtId="0" fontId="3" fillId="0" borderId="8" xfId="0" applyFont="1" applyBorder="1" applyAlignment="1"/>
    <xf numFmtId="0" fontId="7" fillId="0" borderId="9" xfId="0" applyFont="1" applyBorder="1" applyAlignment="1"/>
    <xf numFmtId="0" fontId="7" fillId="0" borderId="10" xfId="0" applyFont="1" applyBorder="1" applyAlignment="1"/>
    <xf numFmtId="0" fontId="0" fillId="0" borderId="22" xfId="0" applyBorder="1" applyAlignment="1">
      <alignment horizontal="left"/>
    </xf>
    <xf numFmtId="0" fontId="0" fillId="0" borderId="12" xfId="0" applyFill="1" applyBorder="1" applyAlignment="1">
      <alignment horizontal="right" vertical="center" wrapText="1"/>
    </xf>
    <xf numFmtId="166" fontId="0" fillId="0" borderId="13" xfId="0" applyNumberFormat="1" applyBorder="1" applyAlignment="1">
      <alignment horizontal="center"/>
    </xf>
    <xf numFmtId="1" fontId="0" fillId="0" borderId="13" xfId="0" applyNumberFormat="1" applyBorder="1" applyAlignment="1">
      <alignment horizontal="center"/>
    </xf>
    <xf numFmtId="0" fontId="0" fillId="0" borderId="0" xfId="0" applyBorder="1" applyAlignment="1">
      <alignment horizontal="right" vertical="center"/>
    </xf>
    <xf numFmtId="0" fontId="0" fillId="0" borderId="0" xfId="0"/>
    <xf numFmtId="0" fontId="0" fillId="0" borderId="19" xfId="0" applyBorder="1"/>
    <xf numFmtId="0" fontId="0" fillId="0" borderId="19" xfId="0" applyFill="1" applyBorder="1"/>
    <xf numFmtId="0" fontId="0" fillId="0" borderId="0" xfId="0"/>
    <xf numFmtId="0" fontId="2" fillId="3" borderId="3" xfId="2" applyBorder="1" applyAlignment="1">
      <alignment horizontal="center"/>
    </xf>
    <xf numFmtId="0" fontId="0" fillId="0" borderId="7" xfId="0" applyBorder="1"/>
    <xf numFmtId="0" fontId="0" fillId="0" borderId="27" xfId="0" applyBorder="1" applyAlignment="1">
      <alignment horizontal="right" vertical="center"/>
    </xf>
    <xf numFmtId="0" fontId="0" fillId="0" borderId="27" xfId="0" applyBorder="1" applyAlignment="1">
      <alignment horizontal="right"/>
    </xf>
    <xf numFmtId="0" fontId="0" fillId="0" borderId="27" xfId="0" applyFill="1" applyBorder="1" applyAlignment="1">
      <alignment horizontal="right" vertical="center" wrapText="1"/>
    </xf>
    <xf numFmtId="0" fontId="19" fillId="0" borderId="0" xfId="0" applyFont="1" applyFill="1" applyBorder="1" applyAlignment="1">
      <alignment horizontal="left" vertical="top" wrapText="1"/>
    </xf>
    <xf numFmtId="0" fontId="0" fillId="0" borderId="0" xfId="0"/>
    <xf numFmtId="0" fontId="8" fillId="0" borderId="11" xfId="3" applyFill="1" applyBorder="1" applyAlignment="1">
      <alignment horizontal="center" vertical="center" wrapText="1"/>
    </xf>
    <xf numFmtId="0" fontId="8" fillId="0" borderId="0" xfId="3" applyFill="1" applyBorder="1" applyAlignment="1">
      <alignment horizontal="center" vertical="center" wrapText="1"/>
    </xf>
    <xf numFmtId="0" fontId="0" fillId="0" borderId="17" xfId="0" applyFill="1" applyBorder="1" applyAlignment="1">
      <alignment wrapText="1"/>
    </xf>
    <xf numFmtId="0" fontId="19" fillId="0" borderId="11" xfId="0" applyFont="1" applyBorder="1" applyAlignment="1">
      <alignment horizontal="center" vertical="center" wrapText="1"/>
    </xf>
    <xf numFmtId="0" fontId="0" fillId="0" borderId="0" xfId="0"/>
    <xf numFmtId="0" fontId="0" fillId="0" borderId="0" xfId="0" applyBorder="1" applyAlignment="1">
      <alignment horizontal="right" wrapText="1"/>
    </xf>
    <xf numFmtId="0" fontId="0" fillId="0" borderId="0" xfId="0"/>
    <xf numFmtId="0" fontId="0" fillId="0" borderId="0" xfId="0" applyBorder="1" applyAlignment="1">
      <alignment horizontal="center" vertical="center"/>
    </xf>
    <xf numFmtId="0" fontId="0" fillId="0" borderId="9" xfId="0" applyFill="1" applyBorder="1" applyAlignment="1">
      <alignment horizontal="center"/>
    </xf>
    <xf numFmtId="0" fontId="0" fillId="0" borderId="12" xfId="0" applyBorder="1" applyAlignment="1">
      <alignment horizontal="right" vertical="center"/>
    </xf>
    <xf numFmtId="0" fontId="0" fillId="6" borderId="0" xfId="0" applyFill="1" applyBorder="1"/>
    <xf numFmtId="0" fontId="0" fillId="6" borderId="3" xfId="0" applyFill="1" applyBorder="1"/>
    <xf numFmtId="0" fontId="0" fillId="6" borderId="15" xfId="0" applyFill="1" applyBorder="1"/>
    <xf numFmtId="1" fontId="2" fillId="3" borderId="31" xfId="2" applyNumberFormat="1" applyBorder="1" applyAlignment="1">
      <alignment horizontal="center" vertical="center"/>
    </xf>
    <xf numFmtId="166" fontId="2" fillId="3" borderId="31" xfId="2" applyNumberFormat="1" applyBorder="1" applyAlignment="1">
      <alignment horizontal="center" vertical="center"/>
    </xf>
    <xf numFmtId="0" fontId="20" fillId="0" borderId="11" xfId="0" applyFont="1" applyBorder="1" applyAlignment="1">
      <alignment horizontal="right" vertical="center"/>
    </xf>
    <xf numFmtId="0" fontId="20" fillId="0" borderId="3" xfId="0" applyFont="1" applyFill="1" applyBorder="1" applyAlignment="1">
      <alignment horizontal="center" vertical="center"/>
    </xf>
    <xf numFmtId="0" fontId="20" fillId="0" borderId="3" xfId="0" applyFont="1" applyBorder="1" applyAlignment="1">
      <alignment horizontal="center" vertical="center"/>
    </xf>
    <xf numFmtId="165" fontId="2" fillId="3" borderId="2" xfId="2" applyNumberFormat="1" applyBorder="1" applyAlignment="1">
      <alignment horizontal="center"/>
    </xf>
    <xf numFmtId="0" fontId="2" fillId="3" borderId="2" xfId="2" applyBorder="1" applyAlignment="1">
      <alignment horizontal="center"/>
    </xf>
    <xf numFmtId="0" fontId="0" fillId="0" borderId="0" xfId="0"/>
    <xf numFmtId="0" fontId="0" fillId="0" borderId="0" xfId="0"/>
    <xf numFmtId="0" fontId="0" fillId="0" borderId="17" xfId="0" applyBorder="1" applyAlignment="1">
      <alignment wrapText="1"/>
    </xf>
    <xf numFmtId="0" fontId="0" fillId="0" borderId="37" xfId="0" applyBorder="1" applyAlignment="1">
      <alignment horizontal="center"/>
    </xf>
    <xf numFmtId="2" fontId="11" fillId="3" borderId="38" xfId="2" applyNumberFormat="1" applyFont="1" applyBorder="1" applyAlignment="1">
      <alignment horizontal="center" wrapText="1"/>
    </xf>
    <xf numFmtId="2" fontId="11" fillId="3" borderId="39" xfId="2" applyNumberFormat="1" applyFont="1" applyBorder="1" applyAlignment="1">
      <alignment horizontal="center" wrapText="1"/>
    </xf>
    <xf numFmtId="165" fontId="0" fillId="0" borderId="39" xfId="0" applyNumberFormat="1" applyFont="1" applyBorder="1" applyAlignment="1">
      <alignment horizontal="center" vertical="center" wrapText="1"/>
    </xf>
    <xf numFmtId="2" fontId="11" fillId="0" borderId="0" xfId="2" applyNumberFormat="1" applyFont="1" applyFill="1" applyBorder="1" applyAlignment="1">
      <alignment horizontal="center"/>
    </xf>
    <xf numFmtId="0" fontId="0" fillId="0" borderId="11" xfId="0" applyFill="1" applyBorder="1" applyAlignment="1">
      <alignment horizontal="center"/>
    </xf>
    <xf numFmtId="165" fontId="0" fillId="0" borderId="11" xfId="0" applyNumberFormat="1" applyFont="1" applyFill="1" applyBorder="1" applyAlignment="1">
      <alignment horizontal="center" vertical="center" wrapText="1"/>
    </xf>
    <xf numFmtId="165" fontId="11" fillId="0" borderId="0" xfId="2" applyNumberFormat="1" applyFont="1" applyFill="1" applyBorder="1" applyAlignment="1">
      <alignment horizontal="center"/>
    </xf>
    <xf numFmtId="165" fontId="0" fillId="0" borderId="0" xfId="0" applyNumberFormat="1" applyFont="1" applyFill="1" applyBorder="1" applyAlignment="1">
      <alignment horizontal="center" vertical="center" wrapText="1"/>
    </xf>
    <xf numFmtId="0" fontId="0" fillId="0" borderId="0" xfId="0" applyFill="1" applyBorder="1" applyAlignment="1">
      <alignment horizontal="center"/>
    </xf>
    <xf numFmtId="0" fontId="0" fillId="0" borderId="0" xfId="0"/>
    <xf numFmtId="0" fontId="0" fillId="0" borderId="0" xfId="0" applyBorder="1" applyAlignment="1">
      <alignment horizontal="right" vertical="center"/>
    </xf>
    <xf numFmtId="0" fontId="0" fillId="0" borderId="21" xfId="0" applyBorder="1"/>
    <xf numFmtId="0" fontId="10" fillId="0" borderId="0" xfId="0" applyFont="1"/>
    <xf numFmtId="0" fontId="0" fillId="0" borderId="21" xfId="0" applyFont="1" applyFill="1" applyBorder="1"/>
    <xf numFmtId="0" fontId="0" fillId="0" borderId="32" xfId="0" applyFont="1" applyFill="1" applyBorder="1"/>
    <xf numFmtId="165" fontId="0" fillId="0" borderId="0" xfId="0" applyNumberFormat="1" applyFont="1" applyBorder="1" applyAlignment="1">
      <alignment horizontal="center" vertical="center" wrapText="1"/>
    </xf>
    <xf numFmtId="0" fontId="0" fillId="0" borderId="0" xfId="0" applyFill="1"/>
    <xf numFmtId="0" fontId="0" fillId="0" borderId="25" xfId="0" applyBorder="1"/>
    <xf numFmtId="0" fontId="0" fillId="0" borderId="22" xfId="0" applyFill="1" applyBorder="1" applyAlignment="1">
      <alignment horizontal="center"/>
    </xf>
    <xf numFmtId="2" fontId="11" fillId="0" borderId="22" xfId="2" applyNumberFormat="1" applyFont="1" applyFill="1" applyBorder="1" applyAlignment="1">
      <alignment horizontal="center"/>
    </xf>
    <xf numFmtId="165" fontId="0" fillId="0" borderId="22" xfId="0" applyNumberFormat="1" applyFont="1" applyFill="1" applyBorder="1" applyAlignment="1">
      <alignment horizontal="center" vertical="center" wrapText="1"/>
    </xf>
    <xf numFmtId="0" fontId="0" fillId="0" borderId="0" xfId="0" applyBorder="1" applyAlignment="1">
      <alignment horizontal="right" vertical="top"/>
    </xf>
    <xf numFmtId="0" fontId="0" fillId="0" borderId="12" xfId="0" applyFill="1" applyBorder="1"/>
    <xf numFmtId="0" fontId="0" fillId="0" borderId="13" xfId="0" applyFill="1" applyBorder="1" applyAlignment="1">
      <alignment horizontal="right" vertical="top"/>
    </xf>
    <xf numFmtId="0" fontId="0" fillId="0" borderId="13" xfId="0" applyFill="1" applyBorder="1" applyAlignment="1">
      <alignment horizontal="left" vertical="top" wrapText="1"/>
    </xf>
    <xf numFmtId="0" fontId="0" fillId="0" borderId="23" xfId="0" applyFill="1" applyBorder="1" applyAlignment="1">
      <alignment horizontal="left" vertical="top" wrapText="1"/>
    </xf>
    <xf numFmtId="0" fontId="19" fillId="0" borderId="0" xfId="0" applyFont="1" applyBorder="1" applyAlignment="1">
      <alignment horizontal="left" wrapText="1"/>
    </xf>
    <xf numFmtId="0" fontId="19" fillId="0" borderId="22" xfId="0" applyFont="1" applyBorder="1" applyAlignment="1">
      <alignment horizontal="left" wrapText="1"/>
    </xf>
    <xf numFmtId="0" fontId="0" fillId="0" borderId="22" xfId="0" applyBorder="1" applyAlignment="1">
      <alignment horizontal="center"/>
    </xf>
    <xf numFmtId="0" fontId="26" fillId="0" borderId="0" xfId="0" applyFont="1" applyBorder="1" applyAlignment="1">
      <alignment horizontal="center" vertical="center" wrapText="1"/>
    </xf>
    <xf numFmtId="0" fontId="26" fillId="0" borderId="22" xfId="0" applyFont="1" applyBorder="1" applyAlignment="1">
      <alignment horizontal="center" vertical="center" wrapText="1"/>
    </xf>
    <xf numFmtId="0" fontId="21" fillId="0" borderId="0" xfId="0" applyFont="1" applyAlignment="1">
      <alignment vertical="top"/>
    </xf>
    <xf numFmtId="2" fontId="11" fillId="6" borderId="3" xfId="1" applyNumberFormat="1" applyFont="1" applyFill="1" applyBorder="1" applyAlignment="1" applyProtection="1">
      <alignment horizontal="center"/>
      <protection locked="0"/>
    </xf>
    <xf numFmtId="165" fontId="11" fillId="6" borderId="17" xfId="1" applyNumberFormat="1" applyFont="1" applyFill="1" applyBorder="1" applyProtection="1">
      <protection locked="0"/>
    </xf>
    <xf numFmtId="165" fontId="11" fillId="6" borderId="3" xfId="1" applyNumberFormat="1" applyFont="1" applyFill="1" applyBorder="1" applyProtection="1">
      <protection locked="0"/>
    </xf>
    <xf numFmtId="0" fontId="0" fillId="6" borderId="0" xfId="0" applyFill="1" applyBorder="1" applyProtection="1">
      <protection locked="0"/>
    </xf>
    <xf numFmtId="0" fontId="0" fillId="0" borderId="3" xfId="0" applyFill="1" applyBorder="1" applyAlignment="1" applyProtection="1">
      <alignment horizontal="right"/>
      <protection locked="0"/>
    </xf>
    <xf numFmtId="2" fontId="0" fillId="0" borderId="0" xfId="0" applyNumberFormat="1" applyProtection="1">
      <protection locked="0"/>
    </xf>
    <xf numFmtId="2" fontId="0" fillId="0" borderId="0" xfId="0" applyNumberFormat="1" applyFill="1" applyBorder="1" applyAlignment="1" applyProtection="1">
      <alignment horizontal="center"/>
      <protection locked="0"/>
    </xf>
    <xf numFmtId="0" fontId="14" fillId="0" borderId="9" xfId="0" applyFont="1" applyBorder="1" applyProtection="1">
      <protection locked="0"/>
    </xf>
    <xf numFmtId="0" fontId="14" fillId="0" borderId="22" xfId="0" applyFont="1" applyBorder="1" applyProtection="1">
      <protection locked="0"/>
    </xf>
    <xf numFmtId="0" fontId="0" fillId="0" borderId="0" xfId="0" applyBorder="1" applyAlignment="1">
      <alignment horizontal="right" vertical="center"/>
    </xf>
    <xf numFmtId="0" fontId="0" fillId="0" borderId="0" xfId="0"/>
    <xf numFmtId="0" fontId="0" fillId="0" borderId="0" xfId="0" applyBorder="1" applyAlignment="1">
      <alignment horizontal="center" vertical="center"/>
    </xf>
    <xf numFmtId="0" fontId="0" fillId="0" borderId="0" xfId="0" applyBorder="1" applyAlignment="1" applyProtection="1">
      <alignment horizontal="left" wrapText="1"/>
      <protection locked="0"/>
    </xf>
    <xf numFmtId="0" fontId="0" fillId="0" borderId="0" xfId="0" applyBorder="1" applyAlignment="1">
      <alignment horizontal="right" vertical="center"/>
    </xf>
    <xf numFmtId="0" fontId="11" fillId="6" borderId="0" xfId="0" applyFont="1" applyFill="1" applyBorder="1" applyAlignment="1" applyProtection="1">
      <alignment horizontal="center" vertical="center"/>
      <protection locked="0"/>
    </xf>
    <xf numFmtId="0" fontId="14" fillId="0" borderId="22" xfId="0" applyFont="1" applyFill="1" applyBorder="1" applyProtection="1">
      <protection locked="0"/>
    </xf>
    <xf numFmtId="0" fontId="0" fillId="0" borderId="13" xfId="0" applyBorder="1" applyAlignment="1">
      <alignment horizontal="right" vertical="top"/>
    </xf>
    <xf numFmtId="0" fontId="26" fillId="0" borderId="0" xfId="0" applyFont="1" applyBorder="1" applyAlignment="1">
      <alignment horizontal="center" vertical="center"/>
    </xf>
    <xf numFmtId="0" fontId="26" fillId="0" borderId="22" xfId="0" applyFont="1" applyBorder="1" applyAlignment="1">
      <alignment horizontal="center" vertical="center"/>
    </xf>
    <xf numFmtId="0" fontId="21" fillId="0" borderId="22" xfId="0" applyFont="1" applyFill="1" applyBorder="1" applyAlignment="1">
      <alignment horizontal="left" vertical="top" wrapText="1"/>
    </xf>
    <xf numFmtId="0" fontId="0" fillId="0" borderId="0" xfId="0" applyBorder="1" applyAlignment="1">
      <alignment horizontal="right" vertical="center"/>
    </xf>
    <xf numFmtId="2" fontId="1" fillId="0" borderId="13" xfId="1" applyNumberFormat="1" applyFill="1" applyBorder="1"/>
    <xf numFmtId="2" fontId="12" fillId="0" borderId="13" xfId="1" applyNumberFormat="1" applyFont="1" applyFill="1" applyBorder="1" applyAlignment="1">
      <alignment horizontal="right"/>
    </xf>
    <xf numFmtId="0" fontId="27" fillId="0" borderId="11" xfId="0" applyFont="1" applyFill="1" applyBorder="1" applyAlignment="1">
      <alignment horizontal="right" vertical="center" wrapText="1"/>
    </xf>
    <xf numFmtId="0" fontId="11" fillId="6" borderId="24" xfId="1" applyFont="1" applyFill="1" applyBorder="1" applyProtection="1">
      <protection locked="0"/>
    </xf>
    <xf numFmtId="0" fontId="0" fillId="0" borderId="47" xfId="0" applyBorder="1" applyAlignment="1">
      <alignment horizontal="center"/>
    </xf>
    <xf numFmtId="0" fontId="0" fillId="10" borderId="38" xfId="0" applyFill="1" applyBorder="1"/>
    <xf numFmtId="0" fontId="11" fillId="6" borderId="3" xfId="0" applyFont="1" applyFill="1" applyBorder="1" applyAlignment="1" applyProtection="1">
      <alignment horizontal="center"/>
      <protection locked="0"/>
    </xf>
    <xf numFmtId="167" fontId="31" fillId="0" borderId="0" xfId="2" applyNumberFormat="1" applyFont="1" applyFill="1" applyBorder="1" applyAlignment="1">
      <alignment horizontal="right" vertical="center"/>
    </xf>
    <xf numFmtId="0" fontId="0" fillId="0" borderId="5" xfId="0" applyBorder="1" applyAlignment="1">
      <alignment wrapText="1"/>
    </xf>
    <xf numFmtId="0" fontId="0" fillId="0" borderId="48" xfId="0" applyBorder="1"/>
    <xf numFmtId="0" fontId="0" fillId="0" borderId="27" xfId="0" applyBorder="1" applyAlignment="1">
      <alignment horizontal="center" wrapText="1"/>
    </xf>
    <xf numFmtId="167" fontId="30" fillId="0" borderId="0" xfId="0" applyNumberFormat="1" applyFont="1" applyBorder="1" applyAlignment="1">
      <alignment horizontal="right" vertical="center"/>
    </xf>
    <xf numFmtId="167" fontId="30" fillId="0" borderId="22" xfId="0" applyNumberFormat="1" applyFont="1" applyBorder="1" applyAlignment="1">
      <alignment horizontal="right" vertical="center"/>
    </xf>
    <xf numFmtId="167" fontId="31" fillId="0" borderId="22" xfId="2" applyNumberFormat="1" applyFont="1" applyFill="1" applyBorder="1" applyAlignment="1">
      <alignment horizontal="right" vertical="center"/>
    </xf>
    <xf numFmtId="0" fontId="32" fillId="0" borderId="0" xfId="0" applyFont="1"/>
    <xf numFmtId="0" fontId="33" fillId="0" borderId="0" xfId="0" applyFont="1"/>
    <xf numFmtId="0" fontId="33" fillId="0" borderId="0" xfId="0" applyFont="1" applyAlignment="1">
      <alignment horizontal="right"/>
    </xf>
    <xf numFmtId="0" fontId="33" fillId="6" borderId="3" xfId="0" applyFont="1" applyFill="1" applyBorder="1"/>
    <xf numFmtId="0" fontId="33" fillId="7" borderId="3" xfId="0" applyFont="1" applyFill="1" applyBorder="1"/>
    <xf numFmtId="0" fontId="34" fillId="3" borderId="16" xfId="2" applyFont="1" applyBorder="1"/>
    <xf numFmtId="0" fontId="34" fillId="0" borderId="0" xfId="2" applyFont="1" applyFill="1" applyBorder="1"/>
    <xf numFmtId="0" fontId="35" fillId="0" borderId="0" xfId="3" applyFont="1"/>
    <xf numFmtId="0" fontId="36" fillId="0" borderId="0" xfId="3" applyFont="1"/>
    <xf numFmtId="0" fontId="38" fillId="0" borderId="0" xfId="0" applyFont="1"/>
    <xf numFmtId="165" fontId="11" fillId="6" borderId="3" xfId="1" applyNumberFormat="1" applyFont="1" applyFill="1" applyBorder="1" applyAlignment="1" applyProtection="1">
      <alignment horizontal="center"/>
      <protection locked="0"/>
    </xf>
    <xf numFmtId="2" fontId="0" fillId="0" borderId="3" xfId="0" applyNumberFormat="1" applyBorder="1" applyAlignment="1">
      <alignment horizontal="center" vertical="center"/>
    </xf>
    <xf numFmtId="2" fontId="11" fillId="6" borderId="3" xfId="1" applyNumberFormat="1" applyFont="1" applyFill="1" applyBorder="1" applyAlignment="1" applyProtection="1">
      <alignment horizontal="center" vertical="center"/>
      <protection locked="0"/>
    </xf>
    <xf numFmtId="0" fontId="0" fillId="0" borderId="3" xfId="0" applyBorder="1" applyAlignment="1">
      <alignment horizontal="center" wrapText="1"/>
    </xf>
    <xf numFmtId="0" fontId="0" fillId="0" borderId="3" xfId="0" applyBorder="1" applyAlignment="1">
      <alignment horizontal="center"/>
    </xf>
    <xf numFmtId="0" fontId="0" fillId="0" borderId="11" xfId="0" applyBorder="1" applyAlignment="1">
      <alignment horizontal="right" wrapText="1"/>
    </xf>
    <xf numFmtId="0" fontId="0" fillId="0" borderId="12" xfId="0" applyBorder="1" applyAlignment="1">
      <alignment horizontal="right" vertical="top"/>
    </xf>
    <xf numFmtId="0" fontId="0" fillId="0" borderId="0" xfId="0" applyBorder="1" applyAlignment="1">
      <alignment wrapText="1"/>
    </xf>
    <xf numFmtId="0" fontId="0" fillId="0" borderId="27" xfId="0" applyBorder="1" applyAlignment="1">
      <alignment horizontal="right" wrapText="1"/>
    </xf>
    <xf numFmtId="164" fontId="2" fillId="3" borderId="2" xfId="2" applyNumberFormat="1" applyAlignment="1" applyProtection="1">
      <alignment horizontal="center" vertical="center" wrapText="1"/>
    </xf>
    <xf numFmtId="0" fontId="39" fillId="0" borderId="22" xfId="0" applyFont="1" applyBorder="1" applyAlignment="1">
      <alignment horizontal="center" vertical="center" wrapText="1"/>
    </xf>
    <xf numFmtId="0" fontId="33" fillId="0" borderId="0" xfId="0" applyFont="1" applyAlignment="1">
      <alignment horizontal="left" wrapText="1"/>
    </xf>
    <xf numFmtId="0" fontId="33" fillId="0" borderId="0" xfId="0" applyFont="1" applyAlignment="1">
      <alignment horizontal="left" vertical="top" wrapText="1"/>
    </xf>
    <xf numFmtId="0" fontId="0" fillId="0" borderId="0" xfId="0" applyFill="1" applyBorder="1" applyAlignment="1" applyProtection="1">
      <alignment horizontal="center"/>
      <protection locked="0"/>
    </xf>
    <xf numFmtId="0" fontId="0" fillId="0" borderId="22" xfId="0" applyFill="1" applyBorder="1" applyAlignment="1" applyProtection="1">
      <alignment horizontal="center"/>
      <protection locked="0"/>
    </xf>
    <xf numFmtId="0" fontId="0" fillId="0" borderId="0" xfId="0" applyFont="1"/>
    <xf numFmtId="0" fontId="0" fillId="0" borderId="0" xfId="0" applyFont="1" applyAlignment="1">
      <alignment horizontal="left" vertical="top" wrapText="1"/>
    </xf>
    <xf numFmtId="0" fontId="8" fillId="0" borderId="0" xfId="3" applyAlignment="1"/>
    <xf numFmtId="165" fontId="2" fillId="3" borderId="3" xfId="2" applyNumberFormat="1" applyBorder="1" applyAlignment="1">
      <alignment horizontal="center" vertical="center"/>
    </xf>
    <xf numFmtId="165" fontId="2" fillId="3" borderId="3" xfId="2" applyNumberFormat="1" applyBorder="1" applyAlignment="1">
      <alignment horizontal="center"/>
    </xf>
    <xf numFmtId="2" fontId="11" fillId="0" borderId="9" xfId="2" applyNumberFormat="1" applyFont="1" applyFill="1" applyBorder="1" applyAlignment="1">
      <alignment horizontal="right" wrapText="1"/>
    </xf>
    <xf numFmtId="2" fontId="2" fillId="0" borderId="9" xfId="2" applyNumberFormat="1" applyFont="1" applyFill="1" applyBorder="1" applyAlignment="1" applyProtection="1">
      <alignment horizontal="center" wrapText="1"/>
    </xf>
    <xf numFmtId="2" fontId="2" fillId="0" borderId="9" xfId="2" applyNumberFormat="1" applyFont="1" applyFill="1" applyBorder="1" applyAlignment="1">
      <alignment horizontal="center" wrapText="1"/>
    </xf>
    <xf numFmtId="0" fontId="0" fillId="0" borderId="27" xfId="0" applyBorder="1" applyAlignment="1">
      <alignment horizontal="right" vertical="top"/>
    </xf>
    <xf numFmtId="0" fontId="7" fillId="0" borderId="9" xfId="0" applyFont="1" applyBorder="1"/>
    <xf numFmtId="0" fontId="0" fillId="0" borderId="3" xfId="0" applyBorder="1" applyAlignment="1">
      <alignment horizontal="center" wrapText="1"/>
    </xf>
    <xf numFmtId="0" fontId="0" fillId="0" borderId="3" xfId="0" applyBorder="1" applyAlignment="1">
      <alignment horizontal="center"/>
    </xf>
    <xf numFmtId="0" fontId="0" fillId="0" borderId="27" xfId="0" applyFont="1" applyFill="1" applyBorder="1" applyAlignment="1">
      <alignment horizontal="right"/>
    </xf>
    <xf numFmtId="0" fontId="0" fillId="0" borderId="27" xfId="0" applyFont="1" applyBorder="1" applyAlignment="1">
      <alignment horizontal="right" wrapText="1"/>
    </xf>
    <xf numFmtId="0" fontId="0" fillId="0" borderId="3" xfId="0" applyBorder="1" applyAlignment="1">
      <alignment horizontal="center" wrapText="1"/>
    </xf>
    <xf numFmtId="0" fontId="0" fillId="0" borderId="0" xfId="0" applyBorder="1" applyAlignment="1">
      <alignment horizontal="right" wrapText="1"/>
    </xf>
    <xf numFmtId="0" fontId="0" fillId="0" borderId="0" xfId="0" applyBorder="1" applyAlignment="1">
      <alignment horizontal="right" vertical="center"/>
    </xf>
    <xf numFmtId="0" fontId="21" fillId="0" borderId="22" xfId="0" applyFont="1" applyFill="1" applyBorder="1" applyAlignment="1">
      <alignment horizontal="left" vertical="top" wrapText="1"/>
    </xf>
    <xf numFmtId="0" fontId="8" fillId="0" borderId="11" xfId="3" applyFill="1" applyBorder="1" applyAlignment="1">
      <alignment horizontal="center" vertical="center" wrapText="1"/>
    </xf>
    <xf numFmtId="0" fontId="8" fillId="0" borderId="0" xfId="3" applyFill="1" applyBorder="1" applyAlignment="1">
      <alignment horizontal="center" vertical="center" wrapText="1"/>
    </xf>
    <xf numFmtId="0" fontId="0" fillId="0" borderId="3" xfId="0" applyBorder="1" applyAlignment="1">
      <alignment horizontal="center"/>
    </xf>
    <xf numFmtId="0" fontId="0" fillId="0" borderId="11" xfId="0" applyBorder="1" applyAlignment="1">
      <alignment horizontal="right" wrapText="1"/>
    </xf>
    <xf numFmtId="165" fontId="11" fillId="6" borderId="3" xfId="1" applyNumberFormat="1" applyFont="1" applyFill="1" applyBorder="1" applyAlignment="1" applyProtection="1">
      <alignment horizontal="center" vertical="center"/>
      <protection locked="0"/>
    </xf>
    <xf numFmtId="0" fontId="0" fillId="0" borderId="11" xfId="0" applyFont="1" applyBorder="1" applyAlignment="1">
      <alignment horizontal="right" wrapText="1"/>
    </xf>
    <xf numFmtId="165" fontId="2" fillId="0" borderId="0" xfId="2" applyNumberFormat="1" applyFill="1" applyBorder="1" applyAlignment="1">
      <alignment horizontal="center"/>
    </xf>
    <xf numFmtId="165" fontId="11" fillId="6" borderId="49" xfId="1" applyNumberFormat="1" applyFont="1" applyFill="1" applyBorder="1" applyAlignment="1" applyProtection="1">
      <alignment horizontal="center" vertical="center"/>
      <protection locked="0"/>
    </xf>
    <xf numFmtId="165" fontId="2" fillId="3" borderId="31" xfId="2" applyNumberFormat="1" applyBorder="1" applyAlignment="1">
      <alignment horizontal="center" vertical="center"/>
    </xf>
    <xf numFmtId="165" fontId="2" fillId="0" borderId="0" xfId="2" applyNumberFormat="1" applyFill="1" applyBorder="1" applyAlignment="1">
      <alignment horizontal="right"/>
    </xf>
    <xf numFmtId="165" fontId="2" fillId="9" borderId="3" xfId="2" applyNumberFormat="1" applyFill="1" applyBorder="1" applyAlignment="1">
      <alignment horizontal="center"/>
    </xf>
    <xf numFmtId="0" fontId="11" fillId="0" borderId="11" xfId="0" applyFont="1" applyBorder="1" applyAlignment="1">
      <alignment horizontal="right"/>
    </xf>
    <xf numFmtId="165" fontId="11" fillId="0" borderId="0" xfId="2" applyNumberFormat="1" applyFont="1" applyFill="1" applyBorder="1" applyAlignment="1">
      <alignment horizontal="right"/>
    </xf>
    <xf numFmtId="0" fontId="27" fillId="0" borderId="22" xfId="0" applyFont="1" applyBorder="1"/>
    <xf numFmtId="164" fontId="21" fillId="0" borderId="22" xfId="4" applyNumberFormat="1" applyFont="1" applyBorder="1" applyAlignment="1">
      <alignment horizontal="left"/>
    </xf>
    <xf numFmtId="164" fontId="21" fillId="0" borderId="22" xfId="4" applyNumberFormat="1" applyFont="1" applyBorder="1" applyAlignment="1">
      <alignment horizontal="left" vertical="center"/>
    </xf>
    <xf numFmtId="168" fontId="2" fillId="3" borderId="2" xfId="2" applyNumberFormat="1" applyBorder="1" applyAlignment="1">
      <alignment horizontal="center" vertical="center"/>
    </xf>
    <xf numFmtId="168" fontId="2" fillId="3" borderId="15" xfId="2" applyNumberFormat="1" applyBorder="1" applyAlignment="1">
      <alignment horizontal="center" vertical="center"/>
    </xf>
    <xf numFmtId="168" fontId="2" fillId="3" borderId="15" xfId="2" applyNumberFormat="1" applyBorder="1" applyAlignment="1" applyProtection="1">
      <alignment horizontal="center" vertical="center"/>
    </xf>
    <xf numFmtId="168" fontId="2" fillId="3" borderId="3" xfId="2" applyNumberFormat="1" applyBorder="1" applyAlignment="1">
      <alignment horizontal="center" vertical="center"/>
    </xf>
    <xf numFmtId="0" fontId="0" fillId="0" borderId="51" xfId="0" applyFill="1" applyBorder="1" applyAlignment="1">
      <alignment horizontal="right" vertical="top"/>
    </xf>
    <xf numFmtId="0" fontId="0" fillId="0" borderId="51" xfId="0" applyFill="1" applyBorder="1" applyAlignment="1" applyProtection="1">
      <alignment horizontal="left" vertical="center" wrapText="1"/>
      <protection locked="0"/>
    </xf>
    <xf numFmtId="165" fontId="2" fillId="0" borderId="41" xfId="2" applyNumberFormat="1" applyFill="1" applyBorder="1" applyAlignment="1">
      <alignment horizontal="center"/>
    </xf>
    <xf numFmtId="165" fontId="2" fillId="3" borderId="2" xfId="2" applyNumberFormat="1" applyAlignment="1">
      <alignment horizontal="center"/>
    </xf>
    <xf numFmtId="165" fontId="2" fillId="3" borderId="3" xfId="2" applyNumberFormat="1" applyBorder="1" applyAlignment="1" applyProtection="1">
      <alignment horizontal="center" vertical="center"/>
    </xf>
    <xf numFmtId="165" fontId="2" fillId="6" borderId="3" xfId="2" applyNumberFormat="1" applyFill="1" applyBorder="1" applyAlignment="1" applyProtection="1">
      <alignment horizontal="center"/>
      <protection locked="0"/>
    </xf>
    <xf numFmtId="165" fontId="2" fillId="6" borderId="3" xfId="2" applyNumberFormat="1" applyFill="1" applyBorder="1" applyAlignment="1" applyProtection="1">
      <alignment horizontal="center" vertical="center"/>
      <protection locked="0"/>
    </xf>
    <xf numFmtId="165" fontId="11" fillId="0" borderId="0" xfId="1" applyNumberFormat="1" applyFont="1" applyFill="1" applyBorder="1" applyAlignment="1" applyProtection="1">
      <alignment horizontal="center" vertical="center"/>
    </xf>
    <xf numFmtId="0" fontId="0" fillId="0" borderId="0" xfId="0" applyFill="1" applyBorder="1" applyAlignment="1" applyProtection="1">
      <alignment horizontal="right"/>
    </xf>
    <xf numFmtId="0" fontId="0" fillId="0" borderId="0" xfId="0" applyBorder="1" applyProtection="1"/>
    <xf numFmtId="0" fontId="0" fillId="0" borderId="11" xfId="0" applyBorder="1" applyAlignment="1" applyProtection="1">
      <alignment horizontal="right"/>
    </xf>
    <xf numFmtId="165" fontId="2" fillId="0" borderId="0" xfId="2" applyNumberFormat="1" applyFill="1" applyBorder="1" applyAlignment="1" applyProtection="1">
      <alignment horizontal="center"/>
    </xf>
    <xf numFmtId="165" fontId="11" fillId="0" borderId="0" xfId="2" applyNumberFormat="1" applyFont="1" applyFill="1" applyBorder="1" applyAlignment="1" applyProtection="1">
      <alignment horizontal="center"/>
    </xf>
    <xf numFmtId="0" fontId="27" fillId="0" borderId="17" xfId="0" applyFont="1" applyBorder="1" applyAlignment="1">
      <alignment wrapText="1"/>
    </xf>
    <xf numFmtId="0" fontId="0" fillId="0" borderId="3" xfId="0" applyBorder="1" applyAlignment="1">
      <alignment horizontal="right" vertical="center"/>
    </xf>
    <xf numFmtId="2" fontId="0" fillId="0" borderId="0" xfId="0" applyNumberFormat="1"/>
    <xf numFmtId="168" fontId="11" fillId="3" borderId="40" xfId="2" applyNumberFormat="1" applyFont="1" applyBorder="1" applyAlignment="1">
      <alignment horizontal="center"/>
    </xf>
    <xf numFmtId="168" fontId="11" fillId="0" borderId="11" xfId="2" applyNumberFormat="1" applyFont="1" applyFill="1" applyBorder="1" applyAlignment="1">
      <alignment horizontal="center"/>
    </xf>
    <xf numFmtId="168" fontId="11" fillId="0" borderId="0" xfId="2" applyNumberFormat="1" applyFont="1" applyFill="1" applyBorder="1" applyAlignment="1">
      <alignment horizontal="center"/>
    </xf>
    <xf numFmtId="168" fontId="11" fillId="0" borderId="22" xfId="2" applyNumberFormat="1" applyFont="1" applyFill="1" applyBorder="1" applyAlignment="1">
      <alignment horizontal="center"/>
    </xf>
    <xf numFmtId="168" fontId="0" fillId="9" borderId="38" xfId="0" applyNumberFormat="1" applyFill="1" applyBorder="1" applyAlignment="1">
      <alignment horizontal="center"/>
    </xf>
    <xf numFmtId="168" fontId="27" fillId="0" borderId="0" xfId="0" applyNumberFormat="1" applyFont="1" applyBorder="1" applyAlignment="1">
      <alignment horizontal="center" vertical="center" wrapText="1"/>
    </xf>
    <xf numFmtId="168" fontId="26" fillId="0" borderId="0" xfId="0" applyNumberFormat="1" applyFont="1" applyBorder="1" applyAlignment="1">
      <alignment horizontal="center" vertical="center" wrapText="1"/>
    </xf>
    <xf numFmtId="168" fontId="26" fillId="0" borderId="22" xfId="0" applyNumberFormat="1" applyFont="1" applyBorder="1" applyAlignment="1">
      <alignment horizontal="center" vertical="center" wrapText="1"/>
    </xf>
    <xf numFmtId="168" fontId="0" fillId="9" borderId="39" xfId="0" applyNumberFormat="1" applyFill="1" applyBorder="1" applyAlignment="1">
      <alignment horizontal="center"/>
    </xf>
    <xf numFmtId="168" fontId="0" fillId="0" borderId="0" xfId="0" applyNumberFormat="1" applyFont="1" applyBorder="1" applyAlignment="1">
      <alignment horizontal="center" vertical="center" wrapText="1"/>
    </xf>
    <xf numFmtId="0" fontId="44" fillId="0" borderId="0" xfId="0" applyFont="1" applyBorder="1" applyAlignment="1">
      <alignment vertical="center" wrapText="1"/>
    </xf>
    <xf numFmtId="0" fontId="44" fillId="0" borderId="22" xfId="0" applyFont="1" applyBorder="1" applyAlignment="1">
      <alignment vertical="center" wrapText="1"/>
    </xf>
    <xf numFmtId="0" fontId="0" fillId="0" borderId="3" xfId="0" applyBorder="1" applyAlignment="1">
      <alignment horizontal="center" wrapText="1"/>
    </xf>
    <xf numFmtId="0" fontId="21" fillId="0" borderId="22" xfId="0" applyFont="1" applyFill="1" applyBorder="1" applyAlignment="1">
      <alignment horizontal="left" vertical="top" wrapText="1"/>
    </xf>
    <xf numFmtId="0" fontId="8" fillId="0" borderId="11" xfId="3" applyFill="1" applyBorder="1" applyAlignment="1">
      <alignment horizontal="center" vertical="center" wrapText="1"/>
    </xf>
    <xf numFmtId="0" fontId="8" fillId="0" borderId="0" xfId="3" applyFill="1" applyBorder="1" applyAlignment="1">
      <alignment horizontal="center" vertical="center" wrapText="1"/>
    </xf>
    <xf numFmtId="0" fontId="0" fillId="0" borderId="0" xfId="0" applyBorder="1" applyAlignment="1">
      <alignment horizontal="right" wrapText="1"/>
    </xf>
    <xf numFmtId="0" fontId="0" fillId="0" borderId="11" xfId="0" applyBorder="1" applyAlignment="1">
      <alignment horizontal="right" wrapText="1"/>
    </xf>
    <xf numFmtId="0" fontId="0" fillId="0" borderId="3" xfId="0" applyBorder="1" applyAlignment="1">
      <alignment horizontal="center"/>
    </xf>
    <xf numFmtId="0" fontId="0" fillId="0" borderId="0" xfId="0" applyBorder="1" applyAlignment="1">
      <alignment horizontal="right" vertical="center"/>
    </xf>
    <xf numFmtId="168" fontId="0" fillId="0" borderId="3" xfId="0" applyNumberFormat="1" applyFill="1" applyBorder="1" applyAlignment="1" applyProtection="1">
      <alignment horizontal="right"/>
      <protection locked="0"/>
    </xf>
    <xf numFmtId="168" fontId="2" fillId="3" borderId="3" xfId="2" applyNumberFormat="1" applyBorder="1" applyAlignment="1">
      <alignment horizontal="center" vertical="center" wrapText="1"/>
    </xf>
    <xf numFmtId="168" fontId="2" fillId="3" borderId="2" xfId="2" applyNumberFormat="1" applyBorder="1" applyAlignment="1">
      <alignment horizontal="center"/>
    </xf>
    <xf numFmtId="0" fontId="0" fillId="0" borderId="0" xfId="0" applyFont="1" applyAlignment="1">
      <alignment horizontal="left" wrapText="1"/>
    </xf>
    <xf numFmtId="0" fontId="33" fillId="0" borderId="0" xfId="0" applyFont="1" applyAlignment="1">
      <alignment horizontal="left" wrapText="1"/>
    </xf>
    <xf numFmtId="0" fontId="0" fillId="0" borderId="0"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0" xfId="0" applyFont="1" applyAlignment="1">
      <alignment horizontal="left"/>
    </xf>
    <xf numFmtId="0" fontId="37" fillId="0" borderId="0" xfId="3" applyFont="1" applyAlignment="1">
      <alignment horizontal="left" wrapText="1"/>
    </xf>
    <xf numFmtId="0" fontId="0" fillId="0" borderId="0" xfId="0" applyFont="1" applyAlignment="1">
      <alignment horizontal="left" vertical="top" wrapText="1"/>
    </xf>
    <xf numFmtId="0" fontId="33" fillId="0" borderId="0" xfId="0" applyFont="1" applyAlignment="1">
      <alignment horizontal="left" vertical="top" wrapText="1"/>
    </xf>
    <xf numFmtId="0" fontId="0" fillId="0" borderId="24" xfId="0" applyBorder="1" applyAlignment="1">
      <alignment horizontal="center" vertical="center" textRotation="90"/>
    </xf>
    <xf numFmtId="0" fontId="3" fillId="0" borderId="0" xfId="0" applyFont="1" applyBorder="1" applyAlignment="1">
      <alignment horizontal="right"/>
    </xf>
    <xf numFmtId="0" fontId="21" fillId="0" borderId="11" xfId="0" applyFont="1" applyBorder="1" applyAlignment="1">
      <alignment horizontal="left" vertical="top" wrapText="1"/>
    </xf>
    <xf numFmtId="0" fontId="21" fillId="0" borderId="0" xfId="0" applyFont="1" applyBorder="1" applyAlignment="1">
      <alignment horizontal="left" vertical="top" wrapText="1"/>
    </xf>
    <xf numFmtId="0" fontId="21" fillId="0" borderId="22" xfId="0" applyFont="1" applyBorder="1" applyAlignment="1">
      <alignment horizontal="left" vertical="top" wrapText="1"/>
    </xf>
    <xf numFmtId="0" fontId="0" fillId="7" borderId="17" xfId="0" applyFill="1" applyBorder="1" applyAlignment="1" applyProtection="1">
      <alignment horizontal="left" vertical="top" wrapText="1"/>
      <protection locked="0"/>
    </xf>
    <xf numFmtId="0" fontId="0" fillId="7" borderId="18" xfId="0" applyFill="1" applyBorder="1" applyAlignment="1" applyProtection="1">
      <alignment horizontal="left" vertical="top" wrapText="1"/>
      <protection locked="0"/>
    </xf>
    <xf numFmtId="0" fontId="0" fillId="7" borderId="43" xfId="0" applyFill="1" applyBorder="1" applyAlignment="1" applyProtection="1">
      <alignment horizontal="left" vertical="top" wrapText="1"/>
      <protection locked="0"/>
    </xf>
    <xf numFmtId="0" fontId="0" fillId="6" borderId="17" xfId="0" applyFill="1" applyBorder="1" applyAlignment="1" applyProtection="1">
      <alignment horizontal="left"/>
      <protection locked="0"/>
    </xf>
    <xf numFmtId="0" fontId="0" fillId="6" borderId="18" xfId="0" applyFill="1" applyBorder="1" applyAlignment="1" applyProtection="1">
      <alignment horizontal="left"/>
      <protection locked="0"/>
    </xf>
    <xf numFmtId="0" fontId="0" fillId="6" borderId="19" xfId="0" applyFill="1" applyBorder="1" applyAlignment="1" applyProtection="1">
      <alignment horizontal="left"/>
      <protection locked="0"/>
    </xf>
    <xf numFmtId="0" fontId="0" fillId="0" borderId="3" xfId="0" applyBorder="1" applyAlignment="1">
      <alignment horizontal="center" wrapText="1"/>
    </xf>
    <xf numFmtId="0" fontId="0" fillId="0" borderId="15" xfId="0" applyBorder="1" applyAlignment="1">
      <alignment horizontal="center" wrapText="1"/>
    </xf>
    <xf numFmtId="0" fontId="0" fillId="0" borderId="49" xfId="0" applyBorder="1" applyAlignment="1">
      <alignment horizontal="center" wrapText="1"/>
    </xf>
    <xf numFmtId="0" fontId="21" fillId="0" borderId="11" xfId="0" applyFont="1" applyBorder="1" applyAlignment="1">
      <alignment horizontal="center" wrapText="1"/>
    </xf>
    <xf numFmtId="0" fontId="21" fillId="0" borderId="0" xfId="0" applyFont="1" applyBorder="1" applyAlignment="1">
      <alignment horizontal="center" wrapText="1"/>
    </xf>
    <xf numFmtId="0" fontId="21" fillId="0" borderId="22" xfId="0" applyFont="1" applyBorder="1" applyAlignment="1">
      <alignment horizontal="center" wrapText="1"/>
    </xf>
    <xf numFmtId="0" fontId="0" fillId="8" borderId="42" xfId="0" applyFill="1" applyBorder="1" applyAlignment="1" applyProtection="1">
      <alignment horizontal="left" vertical="top" wrapText="1"/>
      <protection locked="0"/>
    </xf>
    <xf numFmtId="0" fontId="0" fillId="8" borderId="41" xfId="0" applyFill="1" applyBorder="1" applyAlignment="1" applyProtection="1">
      <alignment horizontal="left" vertical="top" wrapText="1"/>
      <protection locked="0"/>
    </xf>
    <xf numFmtId="0" fontId="0" fillId="8" borderId="44" xfId="0" applyFill="1" applyBorder="1" applyAlignment="1" applyProtection="1">
      <alignment horizontal="left" vertical="top" wrapText="1"/>
      <protection locked="0"/>
    </xf>
    <xf numFmtId="0" fontId="0" fillId="8" borderId="11" xfId="0" applyFill="1" applyBorder="1" applyAlignment="1" applyProtection="1">
      <alignment horizontal="left" vertical="top" wrapText="1"/>
      <protection locked="0"/>
    </xf>
    <xf numFmtId="0" fontId="0" fillId="8" borderId="0" xfId="0" applyFill="1" applyBorder="1" applyAlignment="1" applyProtection="1">
      <alignment horizontal="left" vertical="top" wrapText="1"/>
      <protection locked="0"/>
    </xf>
    <xf numFmtId="0" fontId="0" fillId="8" borderId="22" xfId="0" applyFill="1" applyBorder="1" applyAlignment="1" applyProtection="1">
      <alignment horizontal="left" vertical="top" wrapText="1"/>
      <protection locked="0"/>
    </xf>
    <xf numFmtId="0" fontId="0" fillId="8" borderId="12" xfId="0" applyFill="1" applyBorder="1" applyAlignment="1" applyProtection="1">
      <alignment horizontal="left" vertical="top" wrapText="1"/>
      <protection locked="0"/>
    </xf>
    <xf numFmtId="0" fontId="0" fillId="8" borderId="13" xfId="0" applyFill="1" applyBorder="1" applyAlignment="1" applyProtection="1">
      <alignment horizontal="left" vertical="top" wrapText="1"/>
      <protection locked="0"/>
    </xf>
    <xf numFmtId="0" fontId="0" fillId="8" borderId="23" xfId="0" applyFill="1" applyBorder="1" applyAlignment="1" applyProtection="1">
      <alignment horizontal="left" vertical="top" wrapText="1"/>
      <protection locked="0"/>
    </xf>
    <xf numFmtId="0" fontId="0" fillId="7" borderId="19" xfId="0" applyFill="1" applyBorder="1" applyAlignment="1" applyProtection="1">
      <alignment horizontal="left" vertical="top" wrapText="1"/>
      <protection locked="0"/>
    </xf>
    <xf numFmtId="0" fontId="21" fillId="0" borderId="11"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2" xfId="0" applyFont="1" applyFill="1" applyBorder="1" applyAlignment="1">
      <alignment horizontal="left" vertical="top"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21" fillId="0" borderId="20" xfId="0" applyFont="1" applyBorder="1" applyAlignment="1">
      <alignment horizontal="left" vertical="center" wrapText="1"/>
    </xf>
    <xf numFmtId="0" fontId="21" fillId="0" borderId="0" xfId="0" applyFont="1" applyBorder="1" applyAlignment="1">
      <alignment horizontal="left" vertical="center" wrapText="1"/>
    </xf>
    <xf numFmtId="0" fontId="21" fillId="0" borderId="22" xfId="0" applyFont="1" applyBorder="1" applyAlignment="1">
      <alignment horizontal="left" vertical="center" wrapText="1"/>
    </xf>
    <xf numFmtId="0" fontId="11" fillId="6" borderId="30" xfId="1" applyFont="1" applyFill="1" applyBorder="1" applyAlignment="1" applyProtection="1">
      <alignment horizontal="center"/>
      <protection locked="0"/>
    </xf>
    <xf numFmtId="0" fontId="11" fillId="6" borderId="3" xfId="1" applyFont="1" applyFill="1" applyBorder="1" applyAlignment="1" applyProtection="1">
      <alignment horizontal="center"/>
      <protection locked="0"/>
    </xf>
    <xf numFmtId="0" fontId="43" fillId="0" borderId="25" xfId="0" applyFont="1" applyBorder="1" applyAlignment="1">
      <alignment horizontal="center" vertical="top" wrapText="1"/>
    </xf>
    <xf numFmtId="0" fontId="43" fillId="0" borderId="7" xfId="0" applyFont="1" applyBorder="1" applyAlignment="1">
      <alignment horizontal="center" vertical="top" wrapText="1"/>
    </xf>
    <xf numFmtId="0" fontId="43" fillId="0" borderId="50" xfId="0" applyFont="1" applyBorder="1" applyAlignment="1">
      <alignment horizontal="center" vertical="top" wrapText="1"/>
    </xf>
    <xf numFmtId="0" fontId="0" fillId="0" borderId="0" xfId="0" applyFill="1" applyBorder="1" applyAlignment="1" applyProtection="1">
      <alignment horizontal="right" vertical="top" wrapText="1"/>
    </xf>
    <xf numFmtId="0" fontId="0" fillId="0" borderId="0" xfId="0" applyProtection="1">
      <protection locked="0"/>
    </xf>
    <xf numFmtId="0" fontId="0" fillId="0" borderId="28" xfId="0" applyBorder="1" applyAlignment="1">
      <alignment horizontal="center"/>
    </xf>
    <xf numFmtId="0" fontId="0" fillId="0" borderId="0" xfId="0" applyFont="1" applyBorder="1" applyAlignment="1">
      <alignment horizontal="left" wrapText="1"/>
    </xf>
    <xf numFmtId="0" fontId="0" fillId="0" borderId="22" xfId="0" applyFont="1" applyBorder="1" applyAlignment="1">
      <alignment horizontal="left" wrapText="1"/>
    </xf>
    <xf numFmtId="0" fontId="0" fillId="0" borderId="0" xfId="0" applyBorder="1" applyAlignment="1">
      <alignment horizontal="left" wrapText="1"/>
    </xf>
    <xf numFmtId="0" fontId="0" fillId="0" borderId="22" xfId="0" applyBorder="1" applyAlignment="1">
      <alignment horizontal="left" wrapText="1"/>
    </xf>
    <xf numFmtId="0" fontId="2" fillId="3" borderId="2" xfId="2" applyBorder="1" applyAlignment="1">
      <alignment horizontal="center" wrapText="1"/>
    </xf>
    <xf numFmtId="0" fontId="0" fillId="0" borderId="0" xfId="0" applyBorder="1" applyAlignment="1">
      <alignment horizontal="right" vertical="center"/>
    </xf>
    <xf numFmtId="0" fontId="0" fillId="7" borderId="34" xfId="0" applyFill="1" applyBorder="1" applyAlignment="1" applyProtection="1">
      <alignment horizontal="left" vertical="center" wrapText="1"/>
      <protection locked="0"/>
    </xf>
    <xf numFmtId="0" fontId="0" fillId="7" borderId="35" xfId="0" applyFill="1" applyBorder="1" applyAlignment="1" applyProtection="1">
      <alignment horizontal="left" vertical="center" wrapText="1"/>
      <protection locked="0"/>
    </xf>
    <xf numFmtId="0" fontId="0" fillId="7" borderId="36" xfId="0" applyFill="1" applyBorder="1" applyAlignment="1" applyProtection="1">
      <alignment horizontal="left" vertical="center" wrapText="1"/>
      <protection locked="0"/>
    </xf>
    <xf numFmtId="0" fontId="25" fillId="0" borderId="11" xfId="0" applyFont="1" applyFill="1" applyBorder="1" applyAlignment="1">
      <alignment horizontal="center" wrapText="1"/>
    </xf>
    <xf numFmtId="0" fontId="25" fillId="0" borderId="0" xfId="0" applyFont="1" applyFill="1" applyBorder="1" applyAlignment="1">
      <alignment horizontal="center" wrapText="1"/>
    </xf>
    <xf numFmtId="0" fontId="25" fillId="0" borderId="22" xfId="0" applyFont="1" applyFill="1" applyBorder="1" applyAlignment="1">
      <alignment horizontal="center" wrapText="1"/>
    </xf>
    <xf numFmtId="0" fontId="11" fillId="0" borderId="0" xfId="0" applyFont="1" applyBorder="1" applyAlignment="1">
      <alignment horizontal="right" wrapText="1"/>
    </xf>
    <xf numFmtId="0" fontId="0" fillId="0" borderId="3" xfId="0" applyFill="1" applyBorder="1" applyAlignment="1" applyProtection="1">
      <alignment horizontal="center"/>
      <protection locked="0"/>
    </xf>
    <xf numFmtId="0" fontId="0" fillId="0" borderId="20" xfId="0" applyBorder="1" applyAlignment="1">
      <alignment horizontal="right"/>
    </xf>
    <xf numFmtId="0" fontId="0" fillId="0" borderId="6" xfId="0" applyBorder="1" applyAlignment="1">
      <alignment horizontal="right"/>
    </xf>
    <xf numFmtId="0" fontId="0" fillId="0" borderId="20" xfId="0" applyFont="1" applyBorder="1" applyAlignment="1">
      <alignment horizontal="right" wrapText="1"/>
    </xf>
    <xf numFmtId="0" fontId="0" fillId="0" borderId="29" xfId="0" applyFont="1" applyBorder="1" applyAlignment="1">
      <alignment horizontal="right" wrapText="1"/>
    </xf>
    <xf numFmtId="0" fontId="40" fillId="0" borderId="20" xfId="0" applyFont="1" applyBorder="1" applyAlignment="1">
      <alignment horizontal="center"/>
    </xf>
    <xf numFmtId="0" fontId="40" fillId="0" borderId="0" xfId="0" applyFont="1" applyBorder="1" applyAlignment="1">
      <alignment horizontal="center"/>
    </xf>
    <xf numFmtId="0" fontId="40" fillId="0" borderId="22" xfId="0" applyFont="1" applyBorder="1" applyAlignment="1">
      <alignment horizontal="center"/>
    </xf>
    <xf numFmtId="0" fontId="0" fillId="0" borderId="0" xfId="0" applyBorder="1" applyAlignment="1" applyProtection="1">
      <alignment horizontal="center" vertical="center" wrapText="1"/>
      <protection locked="0"/>
    </xf>
    <xf numFmtId="0" fontId="8" fillId="0" borderId="11" xfId="3" applyFill="1" applyBorder="1" applyAlignment="1">
      <alignment horizontal="center" vertical="center" wrapText="1"/>
    </xf>
    <xf numFmtId="0" fontId="8" fillId="0" borderId="0" xfId="3" applyFill="1" applyBorder="1" applyAlignment="1">
      <alignment horizontal="center" vertical="center" wrapText="1"/>
    </xf>
    <xf numFmtId="0" fontId="0" fillId="0" borderId="45" xfId="0" applyBorder="1" applyAlignment="1">
      <alignment horizontal="right" vertical="center" wrapText="1"/>
    </xf>
    <xf numFmtId="0" fontId="0" fillId="0" borderId="46" xfId="0" applyBorder="1" applyAlignment="1">
      <alignment horizontal="right" vertical="center" wrapText="1"/>
    </xf>
    <xf numFmtId="0" fontId="0" fillId="0" borderId="26" xfId="0" applyBorder="1" applyAlignment="1">
      <alignment horizontal="center" wrapText="1"/>
    </xf>
    <xf numFmtId="0" fontId="0" fillId="0" borderId="0" xfId="0" applyBorder="1" applyAlignment="1">
      <alignment horizontal="right" wrapText="1"/>
    </xf>
    <xf numFmtId="0" fontId="0" fillId="0" borderId="0" xfId="0" applyBorder="1" applyAlignment="1" applyProtection="1">
      <alignment horizontal="center" vertical="center"/>
      <protection locked="0"/>
    </xf>
    <xf numFmtId="0" fontId="25" fillId="0" borderId="20" xfId="0" applyFont="1" applyBorder="1" applyAlignment="1">
      <alignment horizontal="left" vertical="center" wrapText="1"/>
    </xf>
    <xf numFmtId="0" fontId="25" fillId="0" borderId="0" xfId="0" applyFont="1" applyBorder="1" applyAlignment="1">
      <alignment horizontal="left" vertical="center" wrapText="1"/>
    </xf>
    <xf numFmtId="0" fontId="25" fillId="0" borderId="22" xfId="0" applyFont="1" applyBorder="1" applyAlignment="1">
      <alignment horizontal="left" vertical="center" wrapText="1"/>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21" fillId="0" borderId="11" xfId="0" applyFont="1" applyBorder="1" applyAlignment="1">
      <alignment horizontal="left" wrapText="1"/>
    </xf>
    <xf numFmtId="0" fontId="21" fillId="0" borderId="0" xfId="0" applyFont="1" applyBorder="1" applyAlignment="1">
      <alignment horizontal="left" wrapText="1"/>
    </xf>
    <xf numFmtId="0" fontId="21" fillId="0" borderId="22" xfId="0" applyFont="1" applyBorder="1" applyAlignment="1">
      <alignment horizontal="left" wrapText="1"/>
    </xf>
    <xf numFmtId="0" fontId="41" fillId="0" borderId="11" xfId="0" applyFont="1" applyBorder="1" applyAlignment="1">
      <alignment horizontal="left"/>
    </xf>
    <xf numFmtId="0" fontId="41" fillId="0" borderId="7" xfId="0" applyFont="1" applyBorder="1" applyAlignment="1">
      <alignment horizontal="left"/>
    </xf>
    <xf numFmtId="0" fontId="0" fillId="0" borderId="11" xfId="0" applyBorder="1" applyAlignment="1">
      <alignment horizontal="right" wrapText="1"/>
    </xf>
    <xf numFmtId="0" fontId="0" fillId="0" borderId="29" xfId="0" applyBorder="1" applyAlignment="1">
      <alignment horizontal="right" wrapText="1"/>
    </xf>
    <xf numFmtId="0" fontId="19" fillId="0" borderId="27" xfId="0" applyFont="1" applyBorder="1" applyAlignment="1">
      <alignment horizontal="center" vertical="center" wrapText="1"/>
    </xf>
    <xf numFmtId="0" fontId="29" fillId="0" borderId="12" xfId="0" applyFont="1" applyBorder="1" applyAlignment="1">
      <alignment horizontal="center" wrapText="1"/>
    </xf>
    <xf numFmtId="0" fontId="29" fillId="0" borderId="13" xfId="0" applyFont="1" applyBorder="1" applyAlignment="1">
      <alignment horizontal="center" wrapText="1"/>
    </xf>
    <xf numFmtId="0" fontId="29" fillId="0" borderId="23" xfId="0" applyFont="1" applyBorder="1" applyAlignment="1">
      <alignment horizontal="center"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0" fillId="0" borderId="30" xfId="0" applyBorder="1" applyAlignment="1">
      <alignment horizontal="center"/>
    </xf>
    <xf numFmtId="0" fontId="0" fillId="0" borderId="3" xfId="0" applyBorder="1" applyAlignment="1">
      <alignment horizontal="center"/>
    </xf>
    <xf numFmtId="0" fontId="2" fillId="3" borderId="2" xfId="2" applyAlignment="1" applyProtection="1">
      <alignment horizontal="center"/>
      <protection locked="0"/>
    </xf>
    <xf numFmtId="0" fontId="0" fillId="7" borderId="14" xfId="0" applyFill="1" applyBorder="1" applyAlignment="1" applyProtection="1">
      <alignment horizontal="left" vertical="center" wrapText="1"/>
      <protection locked="0"/>
    </xf>
    <xf numFmtId="0" fontId="0" fillId="7" borderId="33" xfId="0" applyFill="1" applyBorder="1" applyAlignment="1" applyProtection="1">
      <alignment horizontal="left" vertical="center" wrapText="1"/>
      <protection locked="0"/>
    </xf>
    <xf numFmtId="0" fontId="0" fillId="7" borderId="3" xfId="0" applyFill="1" applyBorder="1" applyAlignment="1" applyProtection="1">
      <alignment horizontal="left" vertical="center" wrapText="1"/>
      <protection locked="0"/>
    </xf>
    <xf numFmtId="0" fontId="11" fillId="6" borderId="17" xfId="1" applyFont="1" applyFill="1" applyBorder="1" applyAlignment="1" applyProtection="1">
      <alignment horizontal="center"/>
      <protection locked="0"/>
    </xf>
    <xf numFmtId="0" fontId="11" fillId="6" borderId="18" xfId="1" applyFont="1" applyFill="1" applyBorder="1" applyAlignment="1" applyProtection="1">
      <alignment horizontal="center"/>
      <protection locked="0"/>
    </xf>
    <xf numFmtId="0" fontId="11" fillId="6" borderId="19" xfId="1" applyFont="1" applyFill="1" applyBorder="1" applyAlignment="1" applyProtection="1">
      <alignment horizontal="center"/>
      <protection locked="0"/>
    </xf>
    <xf numFmtId="0" fontId="0" fillId="6" borderId="17" xfId="0"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27" fillId="0" borderId="20"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0" fillId="0" borderId="20" xfId="0" applyBorder="1" applyAlignment="1">
      <alignment horizontal="center" vertical="center" wrapText="1"/>
    </xf>
    <xf numFmtId="0" fontId="0" fillId="0" borderId="45" xfId="0" applyBorder="1" applyAlignment="1">
      <alignment horizontal="center" vertical="center" wrapText="1"/>
    </xf>
    <xf numFmtId="0" fontId="0" fillId="0" borderId="0" xfId="0" applyFill="1" applyBorder="1" applyAlignment="1" applyProtection="1">
      <alignment horizontal="center"/>
      <protection locked="0"/>
    </xf>
    <xf numFmtId="0" fontId="41" fillId="0" borderId="11" xfId="0" applyFont="1" applyFill="1" applyBorder="1" applyAlignment="1">
      <alignment horizontal="left" vertical="center"/>
    </xf>
    <xf numFmtId="0" fontId="41" fillId="0" borderId="7" xfId="0" applyFont="1" applyFill="1" applyBorder="1" applyAlignment="1">
      <alignment horizontal="left" vertical="center"/>
    </xf>
    <xf numFmtId="0" fontId="11" fillId="6" borderId="17" xfId="1" applyFont="1" applyFill="1" applyBorder="1" applyAlignment="1" applyProtection="1">
      <alignment horizontal="center" shrinkToFit="1"/>
      <protection locked="0"/>
    </xf>
    <xf numFmtId="0" fontId="11" fillId="6" borderId="18" xfId="1" applyFont="1" applyFill="1" applyBorder="1" applyAlignment="1" applyProtection="1">
      <alignment horizontal="center" shrinkToFit="1"/>
      <protection locked="0"/>
    </xf>
    <xf numFmtId="0" fontId="11" fillId="6" borderId="19" xfId="1" applyFont="1" applyFill="1" applyBorder="1" applyAlignment="1" applyProtection="1">
      <alignment horizontal="center" shrinkToFit="1"/>
      <protection locked="0"/>
    </xf>
    <xf numFmtId="167" fontId="11" fillId="6" borderId="3" xfId="1" applyNumberFormat="1" applyFont="1" applyFill="1" applyBorder="1" applyAlignment="1" applyProtection="1">
      <alignment horizontal="center"/>
      <protection locked="0"/>
    </xf>
    <xf numFmtId="167" fontId="11" fillId="6" borderId="17" xfId="1" applyNumberFormat="1" applyFont="1" applyFill="1" applyBorder="1" applyAlignment="1" applyProtection="1">
      <alignment horizontal="center"/>
      <protection locked="0"/>
    </xf>
    <xf numFmtId="167" fontId="11" fillId="6" borderId="18" xfId="1" applyNumberFormat="1" applyFont="1" applyFill="1" applyBorder="1" applyAlignment="1" applyProtection="1">
      <alignment horizontal="center"/>
      <protection locked="0"/>
    </xf>
    <xf numFmtId="167" fontId="11" fillId="6" borderId="19" xfId="1" applyNumberFormat="1" applyFont="1" applyFill="1" applyBorder="1" applyAlignment="1" applyProtection="1">
      <alignment horizontal="center"/>
      <protection locked="0"/>
    </xf>
    <xf numFmtId="0" fontId="0" fillId="0" borderId="7" xfId="0" applyFill="1" applyBorder="1" applyAlignment="1">
      <alignment horizontal="right" vertical="center" wrapText="1"/>
    </xf>
    <xf numFmtId="0" fontId="20" fillId="0" borderId="7" xfId="0" applyFont="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vertical="center"/>
    </xf>
    <xf numFmtId="0" fontId="0" fillId="5" borderId="5" xfId="0" applyFill="1" applyBorder="1" applyAlignment="1">
      <alignment horizontal="center" vertical="center"/>
    </xf>
  </cellXfs>
  <cellStyles count="5">
    <cellStyle name="Hyperlink" xfId="3" builtinId="8"/>
    <cellStyle name="Input" xfId="1" builtinId="20"/>
    <cellStyle name="Normal" xfId="0" builtinId="0"/>
    <cellStyle name="Output" xfId="2" builtinId="21"/>
    <cellStyle name="Percent" xfId="4" builtinId="5"/>
  </cellStyles>
  <dxfs count="429">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ont>
        <b/>
        <i val="0"/>
        <color theme="6" tint="-0.499984740745262"/>
      </font>
      <fill>
        <patternFill>
          <bgColor theme="6" tint="0.59996337778862885"/>
        </patternFill>
      </fill>
    </dxf>
    <dxf>
      <font>
        <b/>
        <i val="0"/>
        <color theme="5" tint="-0.24994659260841701"/>
      </font>
      <fill>
        <patternFill>
          <bgColor theme="5" tint="0.79998168889431442"/>
        </patternFill>
      </fill>
    </dxf>
    <dxf>
      <font>
        <b/>
        <i val="0"/>
      </font>
      <fill>
        <patternFill>
          <bgColor theme="0" tint="-4.9989318521683403E-2"/>
        </patternFill>
      </fill>
    </dxf>
    <dxf>
      <fill>
        <patternFill>
          <bgColor theme="0"/>
        </patternFill>
      </fill>
    </dxf>
    <dxf>
      <font>
        <color theme="1" tint="0.499984740745262"/>
      </font>
      <fill>
        <patternFill>
          <bgColor theme="0" tint="-0.34998626667073579"/>
        </patternFill>
      </fill>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rgb="FFFDF7D9"/>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border>
        <top style="thin">
          <color auto="1"/>
        </top>
        <bottom style="thin">
          <color auto="1"/>
        </bottom>
        <vertical/>
        <horizontal/>
      </border>
    </dxf>
    <dxf>
      <font>
        <color theme="0"/>
      </font>
      <border>
        <top/>
        <bottom/>
        <vertical/>
        <horizontal/>
      </border>
    </dxf>
    <dxf>
      <font>
        <color theme="0"/>
      </font>
    </dxf>
    <dxf>
      <font>
        <color auto="1"/>
      </font>
      <border>
        <right style="thin">
          <color auto="1"/>
        </right>
        <bottom style="thin">
          <color auto="1"/>
        </bottom>
        <vertical/>
        <horizontal/>
      </border>
    </dxf>
    <dxf>
      <font>
        <color theme="0"/>
      </font>
    </dxf>
    <dxf>
      <font>
        <color auto="1"/>
      </font>
      <border>
        <right style="thin">
          <color auto="1"/>
        </right>
        <bottom style="thin">
          <color auto="1"/>
        </bottom>
        <vertical/>
        <horizontal/>
      </border>
    </dxf>
    <dxf>
      <border>
        <right style="thin">
          <color auto="1"/>
        </right>
        <top style="thin">
          <color auto="1"/>
        </top>
        <bottom style="thin">
          <color auto="1"/>
        </bottom>
        <vertical/>
        <horizontal/>
      </border>
    </dxf>
    <dxf>
      <font>
        <color theme="0"/>
      </font>
    </dxf>
    <dxf>
      <fill>
        <patternFill>
          <bgColor theme="0" tint="-4.9989318521683403E-2"/>
        </patternFill>
      </fill>
    </dxf>
    <dxf>
      <fill>
        <patternFill>
          <bgColor rgb="FFFDF7D9"/>
        </patternFill>
      </fill>
      <border>
        <right style="thin">
          <color auto="1"/>
        </right>
        <top style="thin">
          <color auto="1"/>
        </top>
        <bottom style="thin">
          <color auto="1"/>
        </bottom>
        <vertical/>
        <horizontal/>
      </border>
    </dxf>
    <dxf>
      <font>
        <color theme="0"/>
      </font>
    </dxf>
    <dxf>
      <fill>
        <patternFill>
          <bgColor theme="0" tint="-4.9989318521683403E-2"/>
        </patternFill>
      </fill>
    </dxf>
    <dxf>
      <font>
        <color theme="0"/>
      </font>
    </dxf>
    <dxf>
      <border>
        <right style="thin">
          <color auto="1"/>
        </right>
        <top style="thin">
          <color auto="1"/>
        </top>
        <bottom style="thin">
          <color auto="1"/>
        </bottom>
        <vertical/>
        <horizontal/>
      </border>
    </dxf>
    <dxf>
      <fill>
        <patternFill>
          <bgColor theme="0" tint="-4.9989318521683403E-2"/>
        </patternFill>
      </fill>
    </dxf>
    <dxf>
      <font>
        <color theme="0"/>
      </font>
    </dxf>
    <dxf>
      <border>
        <right style="thin">
          <color auto="1"/>
        </right>
        <top style="thin">
          <color auto="1"/>
        </top>
        <bottom style="thin">
          <color auto="1"/>
        </bottom>
        <vertical/>
        <horizontal/>
      </border>
    </dxf>
    <dxf>
      <font>
        <color theme="5" tint="-0.24994659260841701"/>
      </font>
      <fill>
        <patternFill>
          <bgColor theme="5" tint="0.79998168889431442"/>
        </patternFill>
      </fill>
    </dxf>
    <dxf>
      <font>
        <color theme="6" tint="-0.499984740745262"/>
      </font>
      <fill>
        <patternFill>
          <bgColor theme="6" tint="0.79998168889431442"/>
        </patternFill>
      </fill>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left style="thin">
          <color auto="1"/>
        </left>
        <right style="thin">
          <color auto="1"/>
        </right>
        <top style="thin">
          <color auto="1"/>
        </top>
        <bottom style="thin">
          <color auto="1"/>
        </bottom>
        <vertical/>
        <horizontal/>
      </border>
    </dxf>
    <dxf>
      <fill>
        <patternFill>
          <bgColor theme="0" tint="-4.9989318521683403E-2"/>
        </patternFill>
      </fill>
    </dxf>
    <dxf>
      <font>
        <color theme="0"/>
      </font>
    </dxf>
    <dxf>
      <border>
        <right style="thin">
          <color auto="1"/>
        </right>
        <top style="thin">
          <color auto="1"/>
        </top>
        <bottom style="thin">
          <color auto="1"/>
        </bottom>
        <vertical/>
        <horizontal/>
      </border>
    </dxf>
    <dxf>
      <fill>
        <patternFill>
          <bgColor theme="0" tint="-4.9989318521683403E-2"/>
        </patternFill>
      </fill>
    </dxf>
    <dxf>
      <font>
        <color theme="0"/>
      </font>
    </dxf>
    <dxf>
      <border>
        <right style="thin">
          <color auto="1"/>
        </right>
        <top style="thin">
          <color auto="1"/>
        </top>
        <bottom style="thin">
          <color auto="1"/>
        </bottom>
        <vertical/>
        <horizontal/>
      </border>
    </dxf>
    <dxf>
      <font>
        <color theme="5" tint="-0.24994659260841701"/>
      </font>
      <fill>
        <patternFill>
          <bgColor theme="5" tint="0.79998168889431442"/>
        </patternFill>
      </fill>
    </dxf>
    <dxf>
      <font>
        <color theme="6" tint="-0.499984740745262"/>
      </font>
      <fill>
        <patternFill>
          <bgColor theme="6" tint="0.79998168889431442"/>
        </patternFill>
      </fill>
    </dxf>
    <dxf>
      <fill>
        <patternFill>
          <bgColor theme="0" tint="-4.9989318521683403E-2"/>
        </patternFill>
      </fill>
    </dxf>
    <dxf>
      <font>
        <color theme="0"/>
      </font>
    </dxf>
    <dxf>
      <border>
        <right style="thin">
          <color auto="1"/>
        </right>
        <top style="thin">
          <color auto="1"/>
        </top>
        <bottom style="thin">
          <color auto="1"/>
        </bottom>
        <vertical/>
        <horizontal/>
      </border>
    </dxf>
    <dxf>
      <font>
        <color theme="5" tint="-0.24994659260841701"/>
      </font>
      <fill>
        <patternFill>
          <bgColor theme="5" tint="0.79998168889431442"/>
        </patternFill>
      </fill>
    </dxf>
    <dxf>
      <font>
        <color theme="6" tint="-0.499984740745262"/>
      </font>
      <fill>
        <patternFill>
          <bgColor theme="6" tint="0.79998168889431442"/>
        </patternFill>
      </fill>
    </dxf>
    <dxf>
      <fill>
        <patternFill>
          <bgColor theme="0" tint="-4.9989318521683403E-2"/>
        </patternFill>
      </fill>
    </dxf>
    <dxf>
      <font>
        <color theme="0"/>
      </font>
    </dxf>
    <dxf>
      <border>
        <right style="thin">
          <color auto="1"/>
        </right>
        <top style="thin">
          <color auto="1"/>
        </top>
        <bottom style="thin">
          <color auto="1"/>
        </bottom>
        <vertical/>
        <horizontal/>
      </border>
    </dxf>
    <dxf>
      <font>
        <color theme="5" tint="-0.24994659260841701"/>
      </font>
      <fill>
        <patternFill>
          <bgColor theme="5" tint="0.79998168889431442"/>
        </patternFill>
      </fill>
    </dxf>
    <dxf>
      <font>
        <color theme="6" tint="-0.499984740745262"/>
      </font>
      <fill>
        <patternFill>
          <bgColor theme="6" tint="0.79998168889431442"/>
        </patternFill>
      </fill>
    </dxf>
    <dxf>
      <fill>
        <patternFill>
          <bgColor theme="0" tint="-4.9989318521683403E-2"/>
        </patternFill>
      </fill>
    </dxf>
    <dxf>
      <font>
        <color theme="0"/>
      </font>
    </dxf>
    <dxf>
      <border>
        <right style="thin">
          <color auto="1"/>
        </right>
        <top style="thin">
          <color auto="1"/>
        </top>
        <bottom style="thin">
          <color auto="1"/>
        </bottom>
        <vertical/>
        <horizontal/>
      </border>
    </dxf>
    <dxf>
      <font>
        <color theme="5" tint="-0.24994659260841701"/>
      </font>
      <fill>
        <patternFill>
          <bgColor theme="5" tint="0.79998168889431442"/>
        </patternFill>
      </fill>
    </dxf>
    <dxf>
      <font>
        <color theme="6" tint="-0.499984740745262"/>
      </font>
      <fill>
        <patternFill>
          <bgColor theme="6" tint="0.79998168889431442"/>
        </patternFill>
      </fill>
    </dxf>
    <dxf>
      <fill>
        <patternFill>
          <bgColor theme="0" tint="-4.9989318521683403E-2"/>
        </patternFill>
      </fill>
    </dxf>
    <dxf>
      <fill>
        <patternFill>
          <bgColor theme="0" tint="-4.9989318521683403E-2"/>
        </patternFill>
      </fill>
    </dxf>
    <dxf>
      <border>
        <right style="thin">
          <color auto="1"/>
        </right>
        <top style="thin">
          <color auto="1"/>
        </top>
        <bottom style="thin">
          <color auto="1"/>
        </bottom>
        <vertical/>
        <horizontal/>
      </border>
    </dxf>
    <dxf>
      <font>
        <color theme="0"/>
      </font>
    </dxf>
    <dxf>
      <fill>
        <patternFill patternType="none">
          <bgColor auto="1"/>
        </patternFill>
      </fill>
    </dxf>
    <dxf>
      <font>
        <color theme="0"/>
      </font>
    </dxf>
    <dxf>
      <border>
        <right style="thin">
          <color auto="1"/>
        </right>
        <top style="thin">
          <color auto="1"/>
        </top>
        <bottom style="thin">
          <color auto="1"/>
        </bottom>
        <vertical/>
        <horizontal/>
      </border>
    </dxf>
    <dxf>
      <fill>
        <patternFill>
          <bgColor theme="0" tint="-4.9989318521683403E-2"/>
        </patternFill>
      </fill>
    </dxf>
    <dxf>
      <fill>
        <patternFill>
          <bgColor rgb="FFFFFFCC"/>
        </patternFill>
      </fill>
      <border>
        <right style="thin">
          <color auto="1"/>
        </right>
        <top style="thin">
          <color auto="1"/>
        </top>
        <bottom style="thin">
          <color auto="1"/>
        </bottom>
        <vertical/>
        <horizontal/>
      </border>
    </dxf>
    <dxf>
      <font>
        <color theme="0"/>
      </font>
    </dxf>
    <dxf>
      <fill>
        <patternFill>
          <bgColor theme="0" tint="-4.9989318521683403E-2"/>
        </patternFill>
      </fill>
    </dxf>
    <dxf>
      <font>
        <color theme="5" tint="-0.24994659260841701"/>
      </font>
      <fill>
        <patternFill>
          <bgColor theme="5" tint="0.79998168889431442"/>
        </patternFill>
      </fill>
    </dxf>
    <dxf>
      <font>
        <color theme="6" tint="-0.499984740745262"/>
      </font>
      <fill>
        <patternFill>
          <bgColor theme="6" tint="0.79998168889431442"/>
        </patternFill>
      </fill>
    </dxf>
    <dxf>
      <font>
        <color theme="1" tint="0.14996795556505021"/>
      </font>
      <fill>
        <patternFill>
          <bgColor theme="0" tint="-4.9989318521683403E-2"/>
        </patternFill>
      </fill>
    </dxf>
    <dxf>
      <font>
        <color theme="5" tint="-0.24994659260841701"/>
      </font>
      <fill>
        <patternFill>
          <bgColor theme="5" tint="0.79998168889431442"/>
        </patternFill>
      </fill>
    </dxf>
    <dxf>
      <font>
        <color theme="6" tint="-0.499984740745262"/>
      </font>
      <fill>
        <patternFill>
          <bgColor theme="6" tint="0.79998168889431442"/>
        </patternFill>
      </fill>
    </dxf>
    <dxf>
      <font>
        <color theme="1" tint="0.14996795556505021"/>
      </font>
      <fill>
        <patternFill>
          <bgColor theme="0" tint="-4.9989318521683403E-2"/>
        </patternFill>
      </fill>
    </dxf>
    <dxf>
      <font>
        <color theme="5" tint="-0.24994659260841701"/>
      </font>
      <fill>
        <patternFill>
          <bgColor theme="5" tint="0.79998168889431442"/>
        </patternFill>
      </fill>
    </dxf>
    <dxf>
      <font>
        <color theme="6" tint="-0.499984740745262"/>
      </font>
      <fill>
        <patternFill>
          <bgColor theme="6" tint="0.79998168889431442"/>
        </patternFill>
      </fill>
    </dxf>
    <dxf>
      <font>
        <color theme="5" tint="-0.24994659260841701"/>
      </font>
      <fill>
        <patternFill>
          <bgColor theme="5" tint="0.79998168889431442"/>
        </patternFill>
      </fill>
    </dxf>
    <dxf>
      <font>
        <color theme="6" tint="-0.499984740745262"/>
      </font>
      <fill>
        <patternFill>
          <bgColor theme="6" tint="0.79998168889431442"/>
        </patternFill>
      </fill>
    </dxf>
    <dxf>
      <font>
        <color theme="1" tint="0.14996795556505021"/>
      </font>
      <fill>
        <patternFill>
          <bgColor theme="0" tint="-4.9989318521683403E-2"/>
        </patternFill>
      </fill>
    </dxf>
    <dxf>
      <fill>
        <patternFill>
          <bgColor rgb="FFFFFFCC"/>
        </patternFill>
      </fill>
      <border>
        <right style="thin">
          <color auto="1"/>
        </right>
        <top style="thin">
          <color auto="1"/>
        </top>
        <bottom style="thin">
          <color auto="1"/>
        </bottom>
        <vertical/>
        <horizontal/>
      </border>
    </dxf>
    <dxf>
      <font>
        <color theme="0"/>
      </font>
    </dxf>
    <dxf>
      <fill>
        <patternFill>
          <bgColor theme="0" tint="-4.9989318521683403E-2"/>
        </patternFill>
      </fill>
    </dxf>
  </dxfs>
  <tableStyles count="0" defaultTableStyle="TableStyleMedium2" defaultPivotStyle="PivotStyleLight16"/>
  <colors>
    <mruColors>
      <color rgb="FFFDF7D9"/>
      <color rgb="FFFFFFCC"/>
      <color rgb="FFCC0000"/>
      <color rgb="FFFCF7D9"/>
      <color rgb="FFFCF4C4"/>
      <color rgb="FFFDF3CF"/>
      <color rgb="FFFDFACF"/>
      <color rgb="FFFEF9D5"/>
      <color rgb="FFFAF9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checked="Checked" firstButton="1" fmlaLink="$F$67"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F$89"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Radio" checked="Checked" firstButton="1" fmlaLink="$E$89"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firstButton="1" fmlaLink="$F$102"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checked="Checked" firstButton="1" fmlaLink="$F$102"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checked="Checked" firstButton="1" fmlaLink="$F$114"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CheckBox" fmlaLink="$G$94"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checked="Checked" firstButton="1" fmlaLink="$G$78"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checked="Checked" firstButton="1" fmlaLink="$F$73"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checked="Checked" firstButton="1" fmlaLink="$E$73"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checked="Checked" firstButton="1" fmlaLink="$F$67"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Radio" checked="Checked" firstButton="1" fmlaLink="$F$89"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checked="Checked" firstButton="1" fmlaLink="$E$89"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checked="Checked" firstButton="1" fmlaLink="$F$102"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Radio" checked="Checked" firstButton="1" fmlaLink="$F$114" lockText="1" noThreeD="1"/>
</file>

<file path=xl/ctrlProps/ctrlProp14.xml><?xml version="1.0" encoding="utf-8"?>
<formControlPr xmlns="http://schemas.microsoft.com/office/spreadsheetml/2009/9/main" objectType="Radio" firstButton="1" fmlaLink="$F$114"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CheckBox" fmlaLink="$G$94" lockText="1"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Radio" checked="Checked" firstButton="1" fmlaLink="$G$78"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Radio" checked="Checked" firstButton="1" fmlaLink="$F$73"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firstButton="1" fmlaLink="$E$73" lockText="1" noThreeD="1"/>
</file>

<file path=xl/ctrlProps/ctrlProp15.xml><?xml version="1.0" encoding="utf-8"?>
<formControlPr xmlns="http://schemas.microsoft.com/office/spreadsheetml/2009/9/main" objectType="Radio" checked="Checked"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Radio" checked="Checked" firstButton="1" fmlaLink="$F$67"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Radio" checked="Checked" firstButton="1" fmlaLink="$F$89"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E$89"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G$94"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checked="Checked" firstButton="1" fmlaLink="$F$102"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Radio" checked="Checked" firstButton="1" fmlaLink="$F$114"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CheckBox" fmlaLink="$G$94" lockText="1"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Radio" checked="Checked" firstButton="1" fmlaLink="$G$78"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Radio" checked="Checked" firstButton="1" fmlaLink="$F$73"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checked="Checked" firstButton="1" fmlaLink="$E$73"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checked="Checked" firstButton="1" fmlaLink="$F$67"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Radio" checked="Checked" firstButton="1" fmlaLink="$G$78" lockText="1" noThreeD="1"/>
</file>

<file path=xl/ctrlProps/ctrlProp180.xml><?xml version="1.0" encoding="utf-8"?>
<formControlPr xmlns="http://schemas.microsoft.com/office/spreadsheetml/2009/9/main" objectType="Radio" checked="Checked" firstButton="1" fmlaLink="$F$89"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Radio" checked="Checked" firstButton="1" fmlaLink="$E$89"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Radio" checked="Checked" firstButton="1" fmlaLink="$F$102"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checked="Checked" firstButton="1" fmlaLink="$F$114"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CheckBox" fmlaLink="$G$94" lockText="1"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Radio" checked="Checked" firstButton="1" fmlaLink="$G$7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Radio" checked="Checked" firstButton="1" fmlaLink="$F$73"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checked="Checked" firstButton="1" fmlaLink="$E$73" lockText="1" noThreeD="1"/>
</file>

<file path=xl/ctrlProps/ctrlProp2.xml><?xml version="1.0" encoding="utf-8"?>
<formControlPr xmlns="http://schemas.microsoft.com/office/spreadsheetml/2009/9/main" objectType="Radio" firstButton="1" fmlaLink="$F$67" lockText="1"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checked="Checked" firstButton="1" fmlaLink="$F$67"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Radio" checked="Checked" firstButton="1" fmlaLink="$F$89"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Radio" checked="Checked" firstButton="1" fmlaLink="$E$89"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Radio" checked="Checked" firstButton="1" fmlaLink="$F$102"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Radio" checked="Checked" firstButton="1" fmlaLink="$F$114"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CheckBox" fmlaLink="$G$94" lockText="1"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Radio" checked="Checked" firstButton="1" fmlaLink="$G$78"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F$73" lockText="1"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Radio" checked="Checked" firstButton="1" fmlaLink="$F$73"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checked="Checked" firstButton="1" fmlaLink="$E$73" lockText="1" noThreeD="1"/>
</file>

<file path=xl/ctrlProps/ctrlProp225.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checked="Checked" firstButton="1" fmlaLink="$E$73"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fmlaLink="$F$67" lockText="1" noThreeD="1"/>
</file>

<file path=xl/ctrlProps/ctrlProp28.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Radio" checked="Checked" firstButton="1" fmlaLink="$F$89"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checked="Checked" firstButton="1" fmlaLink="$E$89"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checked="Checked" firstButton="1" fmlaLink="$F$102"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firstButton="1" fmlaLink="$F$114"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G$94"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checked="Checked" firstButton="1" fmlaLink="$G$78"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checked="Checked" firstButton="1" fmlaLink="$F$73"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checked="Checked" firstButton="1" fmlaLink="$E$73" lockText="1" noThreeD="1"/>
</file>

<file path=xl/ctrlProps/ctrlProp5.xml><?xml version="1.0" encoding="utf-8"?>
<formControlPr xmlns="http://schemas.microsoft.com/office/spreadsheetml/2009/9/main" objectType="Radio" checked="Checked" firstButton="1" fmlaLink="$F$89"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checked="Checked" firstButton="1" fmlaLink="$F$67"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checked="Checked" firstButton="1" fmlaLink="$F$89"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checked="Checked" firstButton="1" fmlaLink="$E$89"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checked="Checked" firstButton="1" fmlaLink="$F$102"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fmlaLink="$F$114" lockText="1" noThreeD="1"/>
</file>

<file path=xl/ctrlProps/ctrlProp65.xml><?xml version="1.0" encoding="utf-8"?>
<formControlPr xmlns="http://schemas.microsoft.com/office/spreadsheetml/2009/9/main" objectType="Radio" checked="Checked" lockText="1" noThreeD="1"/>
</file>

<file path=xl/ctrlProps/ctrlProp66.xml><?xml version="1.0" encoding="utf-8"?>
<formControlPr xmlns="http://schemas.microsoft.com/office/spreadsheetml/2009/9/main" objectType="CheckBox" fmlaLink="$G$94"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checked="Checked" firstButton="1" fmlaLink="$G$78"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checked="Checked" firstButton="1" fmlaLink="$F$73"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E$7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F$67"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E$89" lockText="1" noThreeD="1"/>
</file>

<file path=xl/ctrlProps/ctrlProp80.xml><?xml version="1.0" encoding="utf-8"?>
<formControlPr xmlns="http://schemas.microsoft.com/office/spreadsheetml/2009/9/main" objectType="Radio" checked="Checked" firstButton="1" fmlaLink="$F$89"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checked="Checked" firstButton="1" fmlaLink="$E$89"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checked="Checked" firstButton="1" fmlaLink="$F$102"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checked="Checked" firstButton="1" fmlaLink="$F$114"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CheckBox" fmlaLink="$G$94"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G$78"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checked="Checked" firstButton="1" fmlaLink="$F$73"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checked="Checked" firstButton="1" fmlaLink="$E$7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46496</xdr:colOff>
      <xdr:row>22</xdr:row>
      <xdr:rowOff>38102</xdr:rowOff>
    </xdr:from>
    <xdr:to>
      <xdr:col>7</xdr:col>
      <xdr:colOff>562</xdr:colOff>
      <xdr:row>22</xdr:row>
      <xdr:rowOff>480060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38976" y="5196842"/>
          <a:ext cx="3764066" cy="441958"/>
        </a:xfrm>
        <a:prstGeom prst="rect">
          <a:avLst/>
        </a:prstGeom>
        <a:ln w="19050">
          <a:solidFill>
            <a:schemeClr val="tx1"/>
          </a:solidFill>
        </a:ln>
      </xdr:spPr>
    </xdr:pic>
    <xdr:clientData/>
  </xdr:twoCellAnchor>
  <xdr:twoCellAnchor editAs="oneCell">
    <xdr:from>
      <xdr:col>0</xdr:col>
      <xdr:colOff>553192</xdr:colOff>
      <xdr:row>13</xdr:row>
      <xdr:rowOff>25981</xdr:rowOff>
    </xdr:from>
    <xdr:to>
      <xdr:col>8</xdr:col>
      <xdr:colOff>464820</xdr:colOff>
      <xdr:row>13</xdr:row>
      <xdr:rowOff>2910840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a:srcRect t="2459"/>
        <a:stretch/>
      </xdr:blipFill>
      <xdr:spPr>
        <a:xfrm>
          <a:off x="553192" y="3363541"/>
          <a:ext cx="4940828" cy="2884859"/>
        </a:xfrm>
        <a:prstGeom prst="rect">
          <a:avLst/>
        </a:prstGeom>
        <a:ln w="28575">
          <a:solidFill>
            <a:sysClr val="windowText" lastClr="000000"/>
          </a:solidFill>
        </a:ln>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38241" name="Group Box 1" hidden="1">
              <a:extLst>
                <a:ext uri="{63B3BB69-23CF-44E3-9099-C40C66FF867C}">
                  <a14:compatExt spid="_x0000_s138241"/>
                </a:ext>
                <a:ext uri="{FF2B5EF4-FFF2-40B4-BE49-F238E27FC236}">
                  <a16:creationId xmlns:a16="http://schemas.microsoft.com/office/drawing/2014/main" id="{00000000-0008-0000-0A00-0000011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38242" name="Option Button 2" hidden="1">
              <a:extLst>
                <a:ext uri="{63B3BB69-23CF-44E3-9099-C40C66FF867C}">
                  <a14:compatExt spid="_x0000_s138242"/>
                </a:ext>
                <a:ext uri="{FF2B5EF4-FFF2-40B4-BE49-F238E27FC236}">
                  <a16:creationId xmlns:a16="http://schemas.microsoft.com/office/drawing/2014/main" id="{00000000-0008-0000-0A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38243" name="Option Button 3" hidden="1">
              <a:extLst>
                <a:ext uri="{63B3BB69-23CF-44E3-9099-C40C66FF867C}">
                  <a14:compatExt spid="_x0000_s138243"/>
                </a:ext>
                <a:ext uri="{FF2B5EF4-FFF2-40B4-BE49-F238E27FC236}">
                  <a16:creationId xmlns:a16="http://schemas.microsoft.com/office/drawing/2014/main" id="{00000000-0008-0000-0A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38244" name="Group Box 4" hidden="1">
              <a:extLst>
                <a:ext uri="{63B3BB69-23CF-44E3-9099-C40C66FF867C}">
                  <a14:compatExt spid="_x0000_s138244"/>
                </a:ext>
                <a:ext uri="{FF2B5EF4-FFF2-40B4-BE49-F238E27FC236}">
                  <a16:creationId xmlns:a16="http://schemas.microsoft.com/office/drawing/2014/main" id="{00000000-0008-0000-0A00-0000041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38245" name="Option Button 5" hidden="1">
              <a:extLst>
                <a:ext uri="{63B3BB69-23CF-44E3-9099-C40C66FF867C}">
                  <a14:compatExt spid="_x0000_s138245"/>
                </a:ext>
                <a:ext uri="{FF2B5EF4-FFF2-40B4-BE49-F238E27FC236}">
                  <a16:creationId xmlns:a16="http://schemas.microsoft.com/office/drawing/2014/main" id="{00000000-0008-0000-0A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38246" name="Option Button 6" hidden="1">
              <a:extLst>
                <a:ext uri="{63B3BB69-23CF-44E3-9099-C40C66FF867C}">
                  <a14:compatExt spid="_x0000_s138246"/>
                </a:ext>
                <a:ext uri="{FF2B5EF4-FFF2-40B4-BE49-F238E27FC236}">
                  <a16:creationId xmlns:a16="http://schemas.microsoft.com/office/drawing/2014/main" id="{00000000-0008-0000-0A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38247" name="Group Box 7" hidden="1">
              <a:extLst>
                <a:ext uri="{63B3BB69-23CF-44E3-9099-C40C66FF867C}">
                  <a14:compatExt spid="_x0000_s138247"/>
                </a:ext>
                <a:ext uri="{FF2B5EF4-FFF2-40B4-BE49-F238E27FC236}">
                  <a16:creationId xmlns:a16="http://schemas.microsoft.com/office/drawing/2014/main" id="{00000000-0008-0000-0A00-0000071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38248" name="Option Button 8" hidden="1">
              <a:extLst>
                <a:ext uri="{63B3BB69-23CF-44E3-9099-C40C66FF867C}">
                  <a14:compatExt spid="_x0000_s138248"/>
                </a:ext>
                <a:ext uri="{FF2B5EF4-FFF2-40B4-BE49-F238E27FC236}">
                  <a16:creationId xmlns:a16="http://schemas.microsoft.com/office/drawing/2014/main" id="{00000000-0008-0000-0A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38249" name="Option Button 9" hidden="1">
              <a:extLst>
                <a:ext uri="{63B3BB69-23CF-44E3-9099-C40C66FF867C}">
                  <a14:compatExt spid="_x0000_s138249"/>
                </a:ext>
                <a:ext uri="{FF2B5EF4-FFF2-40B4-BE49-F238E27FC236}">
                  <a16:creationId xmlns:a16="http://schemas.microsoft.com/office/drawing/2014/main" id="{00000000-0008-0000-0A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38250" name="Group Box 10" hidden="1">
              <a:extLst>
                <a:ext uri="{63B3BB69-23CF-44E3-9099-C40C66FF867C}">
                  <a14:compatExt spid="_x0000_s138250"/>
                </a:ext>
                <a:ext uri="{FF2B5EF4-FFF2-40B4-BE49-F238E27FC236}">
                  <a16:creationId xmlns:a16="http://schemas.microsoft.com/office/drawing/2014/main" id="{00000000-0008-0000-0A00-00000A1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38251" name="Option Button 11" hidden="1">
              <a:extLst>
                <a:ext uri="{63B3BB69-23CF-44E3-9099-C40C66FF867C}">
                  <a14:compatExt spid="_x0000_s138251"/>
                </a:ext>
                <a:ext uri="{FF2B5EF4-FFF2-40B4-BE49-F238E27FC236}">
                  <a16:creationId xmlns:a16="http://schemas.microsoft.com/office/drawing/2014/main" id="{00000000-0008-0000-0A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38252" name="Option Button 12" hidden="1">
              <a:extLst>
                <a:ext uri="{63B3BB69-23CF-44E3-9099-C40C66FF867C}">
                  <a14:compatExt spid="_x0000_s138252"/>
                </a:ext>
                <a:ext uri="{FF2B5EF4-FFF2-40B4-BE49-F238E27FC236}">
                  <a16:creationId xmlns:a16="http://schemas.microsoft.com/office/drawing/2014/main" id="{00000000-0008-0000-0A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38253" name="Group Box 13" hidden="1">
              <a:extLst>
                <a:ext uri="{63B3BB69-23CF-44E3-9099-C40C66FF867C}">
                  <a14:compatExt spid="_x0000_s138253"/>
                </a:ext>
                <a:ext uri="{FF2B5EF4-FFF2-40B4-BE49-F238E27FC236}">
                  <a16:creationId xmlns:a16="http://schemas.microsoft.com/office/drawing/2014/main" id="{00000000-0008-0000-0A00-00000D1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38254" name="Option Button 14" hidden="1">
              <a:extLst>
                <a:ext uri="{63B3BB69-23CF-44E3-9099-C40C66FF867C}">
                  <a14:compatExt spid="_x0000_s138254"/>
                </a:ext>
                <a:ext uri="{FF2B5EF4-FFF2-40B4-BE49-F238E27FC236}">
                  <a16:creationId xmlns:a16="http://schemas.microsoft.com/office/drawing/2014/main" id="{00000000-0008-0000-0A00-00000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38255" name="Option Button 15" hidden="1">
              <a:extLst>
                <a:ext uri="{63B3BB69-23CF-44E3-9099-C40C66FF867C}">
                  <a14:compatExt spid="_x0000_s138255"/>
                </a:ext>
                <a:ext uri="{FF2B5EF4-FFF2-40B4-BE49-F238E27FC236}">
                  <a16:creationId xmlns:a16="http://schemas.microsoft.com/office/drawing/2014/main" id="{00000000-0008-0000-0A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A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38257" name="Group Box 17" hidden="1">
              <a:extLst>
                <a:ext uri="{63B3BB69-23CF-44E3-9099-C40C66FF867C}">
                  <a14:compatExt spid="_x0000_s138257"/>
                </a:ext>
                <a:ext uri="{FF2B5EF4-FFF2-40B4-BE49-F238E27FC236}">
                  <a16:creationId xmlns:a16="http://schemas.microsoft.com/office/drawing/2014/main" id="{00000000-0008-0000-0A00-0000111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38258" name="Option Button 18" hidden="1">
              <a:extLst>
                <a:ext uri="{63B3BB69-23CF-44E3-9099-C40C66FF867C}">
                  <a14:compatExt spid="_x0000_s138258"/>
                </a:ext>
                <a:ext uri="{FF2B5EF4-FFF2-40B4-BE49-F238E27FC236}">
                  <a16:creationId xmlns:a16="http://schemas.microsoft.com/office/drawing/2014/main" id="{00000000-0008-0000-0A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38259" name="Option Button 19" hidden="1">
              <a:extLst>
                <a:ext uri="{63B3BB69-23CF-44E3-9099-C40C66FF867C}">
                  <a14:compatExt spid="_x0000_s138259"/>
                </a:ext>
                <a:ext uri="{FF2B5EF4-FFF2-40B4-BE49-F238E27FC236}">
                  <a16:creationId xmlns:a16="http://schemas.microsoft.com/office/drawing/2014/main" id="{00000000-0008-0000-0A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38260" name="Group Box 20" hidden="1">
              <a:extLst>
                <a:ext uri="{63B3BB69-23CF-44E3-9099-C40C66FF867C}">
                  <a14:compatExt spid="_x0000_s138260"/>
                </a:ext>
                <a:ext uri="{FF2B5EF4-FFF2-40B4-BE49-F238E27FC236}">
                  <a16:creationId xmlns:a16="http://schemas.microsoft.com/office/drawing/2014/main" id="{00000000-0008-0000-0A00-0000141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38261" name="Group Box 21" hidden="1">
              <a:extLst>
                <a:ext uri="{63B3BB69-23CF-44E3-9099-C40C66FF867C}">
                  <a14:compatExt spid="_x0000_s138261"/>
                </a:ext>
                <a:ext uri="{FF2B5EF4-FFF2-40B4-BE49-F238E27FC236}">
                  <a16:creationId xmlns:a16="http://schemas.microsoft.com/office/drawing/2014/main" id="{00000000-0008-0000-0A00-0000151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38262" name="Option Button 22" hidden="1">
              <a:extLst>
                <a:ext uri="{63B3BB69-23CF-44E3-9099-C40C66FF867C}">
                  <a14:compatExt spid="_x0000_s138262"/>
                </a:ext>
                <a:ext uri="{FF2B5EF4-FFF2-40B4-BE49-F238E27FC236}">
                  <a16:creationId xmlns:a16="http://schemas.microsoft.com/office/drawing/2014/main" id="{00000000-0008-0000-0A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38263" name="Option Button 23" hidden="1">
              <a:extLst>
                <a:ext uri="{63B3BB69-23CF-44E3-9099-C40C66FF867C}">
                  <a14:compatExt spid="_x0000_s138263"/>
                </a:ext>
                <a:ext uri="{FF2B5EF4-FFF2-40B4-BE49-F238E27FC236}">
                  <a16:creationId xmlns:a16="http://schemas.microsoft.com/office/drawing/2014/main" id="{00000000-0008-0000-0A00-00001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38264" name="Option Button 24" hidden="1">
              <a:extLst>
                <a:ext uri="{63B3BB69-23CF-44E3-9099-C40C66FF867C}">
                  <a14:compatExt spid="_x0000_s138264"/>
                </a:ext>
                <a:ext uri="{FF2B5EF4-FFF2-40B4-BE49-F238E27FC236}">
                  <a16:creationId xmlns:a16="http://schemas.microsoft.com/office/drawing/2014/main" id="{00000000-0008-0000-0A00-00001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38265" name="Option Button 25" hidden="1">
              <a:extLst>
                <a:ext uri="{63B3BB69-23CF-44E3-9099-C40C66FF867C}">
                  <a14:compatExt spid="_x0000_s138265"/>
                </a:ext>
                <a:ext uri="{FF2B5EF4-FFF2-40B4-BE49-F238E27FC236}">
                  <a16:creationId xmlns:a16="http://schemas.microsoft.com/office/drawing/2014/main" id="{00000000-0008-0000-0A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4341" name="Group Box 5" hidden="1">
              <a:extLst>
                <a:ext uri="{63B3BB69-23CF-44E3-9099-C40C66FF867C}">
                  <a14:compatExt spid="_x0000_s14341"/>
                </a:ext>
                <a:ext uri="{FF2B5EF4-FFF2-40B4-BE49-F238E27FC236}">
                  <a16:creationId xmlns:a16="http://schemas.microsoft.com/office/drawing/2014/main" id="{00000000-0008-0000-0200-000005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4342" name="Option Button 6" hidden="1">
              <a:extLst>
                <a:ext uri="{63B3BB69-23CF-44E3-9099-C40C66FF867C}">
                  <a14:compatExt spid="_x0000_s14342"/>
                </a:ext>
                <a:ext uri="{FF2B5EF4-FFF2-40B4-BE49-F238E27FC236}">
                  <a16:creationId xmlns:a16="http://schemas.microsoft.com/office/drawing/2014/main" id="{00000000-0008-0000-02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4343" name="Option Button 7" hidden="1">
              <a:extLst>
                <a:ext uri="{63B3BB69-23CF-44E3-9099-C40C66FF867C}">
                  <a14:compatExt spid="_x0000_s14343"/>
                </a:ext>
                <a:ext uri="{FF2B5EF4-FFF2-40B4-BE49-F238E27FC236}">
                  <a16:creationId xmlns:a16="http://schemas.microsoft.com/office/drawing/2014/main" id="{00000000-0008-0000-02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4346" name="Group Box 10" hidden="1">
              <a:extLst>
                <a:ext uri="{63B3BB69-23CF-44E3-9099-C40C66FF867C}">
                  <a14:compatExt spid="_x0000_s14346"/>
                </a:ext>
                <a:ext uri="{FF2B5EF4-FFF2-40B4-BE49-F238E27FC236}">
                  <a16:creationId xmlns:a16="http://schemas.microsoft.com/office/drawing/2014/main" id="{00000000-0008-0000-0200-00000A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4347" name="Option Button 11" hidden="1">
              <a:extLst>
                <a:ext uri="{63B3BB69-23CF-44E3-9099-C40C66FF867C}">
                  <a14:compatExt spid="_x0000_s14347"/>
                </a:ext>
                <a:ext uri="{FF2B5EF4-FFF2-40B4-BE49-F238E27FC236}">
                  <a16:creationId xmlns:a16="http://schemas.microsoft.com/office/drawing/2014/main" id="{00000000-0008-0000-02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4348" name="Option Button 12" hidden="1">
              <a:extLst>
                <a:ext uri="{63B3BB69-23CF-44E3-9099-C40C66FF867C}">
                  <a14:compatExt spid="_x0000_s14348"/>
                </a:ext>
                <a:ext uri="{FF2B5EF4-FFF2-40B4-BE49-F238E27FC236}">
                  <a16:creationId xmlns:a16="http://schemas.microsoft.com/office/drawing/2014/main" id="{00000000-0008-0000-02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4358" name="Group Box 22" hidden="1">
              <a:extLst>
                <a:ext uri="{63B3BB69-23CF-44E3-9099-C40C66FF867C}">
                  <a14:compatExt spid="_x0000_s14358"/>
                </a:ext>
                <a:ext uri="{FF2B5EF4-FFF2-40B4-BE49-F238E27FC236}">
                  <a16:creationId xmlns:a16="http://schemas.microsoft.com/office/drawing/2014/main" id="{00000000-0008-0000-0200-000016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4360" name="Option Button 24" hidden="1">
              <a:extLst>
                <a:ext uri="{63B3BB69-23CF-44E3-9099-C40C66FF867C}">
                  <a14:compatExt spid="_x0000_s14360"/>
                </a:ext>
                <a:ext uri="{FF2B5EF4-FFF2-40B4-BE49-F238E27FC236}">
                  <a16:creationId xmlns:a16="http://schemas.microsoft.com/office/drawing/2014/main" id="{00000000-0008-0000-02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4362" name="Option Button 26" hidden="1">
              <a:extLst>
                <a:ext uri="{63B3BB69-23CF-44E3-9099-C40C66FF867C}">
                  <a14:compatExt spid="_x0000_s14362"/>
                </a:ext>
                <a:ext uri="{FF2B5EF4-FFF2-40B4-BE49-F238E27FC236}">
                  <a16:creationId xmlns:a16="http://schemas.microsoft.com/office/drawing/2014/main" id="{00000000-0008-0000-02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4365" name="Group Box 29" hidden="1">
              <a:extLst>
                <a:ext uri="{63B3BB69-23CF-44E3-9099-C40C66FF867C}">
                  <a14:compatExt spid="_x0000_s14365"/>
                </a:ext>
                <a:ext uri="{FF2B5EF4-FFF2-40B4-BE49-F238E27FC236}">
                  <a16:creationId xmlns:a16="http://schemas.microsoft.com/office/drawing/2014/main" id="{00000000-0008-0000-0200-00001D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4366" name="Option Button 30" hidden="1">
              <a:extLst>
                <a:ext uri="{63B3BB69-23CF-44E3-9099-C40C66FF867C}">
                  <a14:compatExt spid="_x0000_s14366"/>
                </a:ext>
                <a:ext uri="{FF2B5EF4-FFF2-40B4-BE49-F238E27FC236}">
                  <a16:creationId xmlns:a16="http://schemas.microsoft.com/office/drawing/2014/main" id="{00000000-0008-0000-02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4367" name="Option Button 31" hidden="1">
              <a:extLst>
                <a:ext uri="{63B3BB69-23CF-44E3-9099-C40C66FF867C}">
                  <a14:compatExt spid="_x0000_s14367"/>
                </a:ext>
                <a:ext uri="{FF2B5EF4-FFF2-40B4-BE49-F238E27FC236}">
                  <a16:creationId xmlns:a16="http://schemas.microsoft.com/office/drawing/2014/main" id="{00000000-0008-0000-02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4393" name="Group Box 57" hidden="1">
              <a:extLst>
                <a:ext uri="{63B3BB69-23CF-44E3-9099-C40C66FF867C}">
                  <a14:compatExt spid="_x0000_s14393"/>
                </a:ext>
                <a:ext uri="{FF2B5EF4-FFF2-40B4-BE49-F238E27FC236}">
                  <a16:creationId xmlns:a16="http://schemas.microsoft.com/office/drawing/2014/main" id="{00000000-0008-0000-0200-000039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4394" name="Option Button 58" hidden="1">
              <a:extLst>
                <a:ext uri="{63B3BB69-23CF-44E3-9099-C40C66FF867C}">
                  <a14:compatExt spid="_x0000_s14394"/>
                </a:ext>
                <a:ext uri="{FF2B5EF4-FFF2-40B4-BE49-F238E27FC236}">
                  <a16:creationId xmlns:a16="http://schemas.microsoft.com/office/drawing/2014/main" id="{00000000-0008-0000-0200-00003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4395" name="Option Button 59" hidden="1">
              <a:extLst>
                <a:ext uri="{63B3BB69-23CF-44E3-9099-C40C66FF867C}">
                  <a14:compatExt spid="_x0000_s14395"/>
                </a:ext>
                <a:ext uri="{FF2B5EF4-FFF2-40B4-BE49-F238E27FC236}">
                  <a16:creationId xmlns:a16="http://schemas.microsoft.com/office/drawing/2014/main" id="{00000000-0008-0000-0200-00003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4416" name="Check Box 80" hidden="1">
              <a:extLst>
                <a:ext uri="{63B3BB69-23CF-44E3-9099-C40C66FF867C}">
                  <a14:compatExt spid="_x0000_s14416"/>
                </a:ext>
                <a:ext uri="{FF2B5EF4-FFF2-40B4-BE49-F238E27FC236}">
                  <a16:creationId xmlns:a16="http://schemas.microsoft.com/office/drawing/2014/main" id="{00000000-0008-0000-0200-00005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4418" name="Group Box 82" hidden="1">
              <a:extLst>
                <a:ext uri="{63B3BB69-23CF-44E3-9099-C40C66FF867C}">
                  <a14:compatExt spid="_x0000_s14418"/>
                </a:ext>
                <a:ext uri="{FF2B5EF4-FFF2-40B4-BE49-F238E27FC236}">
                  <a16:creationId xmlns:a16="http://schemas.microsoft.com/office/drawing/2014/main" id="{00000000-0008-0000-0200-000052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4419" name="Option Button 83" hidden="1">
              <a:extLst>
                <a:ext uri="{63B3BB69-23CF-44E3-9099-C40C66FF867C}">
                  <a14:compatExt spid="_x0000_s14419"/>
                </a:ext>
                <a:ext uri="{FF2B5EF4-FFF2-40B4-BE49-F238E27FC236}">
                  <a16:creationId xmlns:a16="http://schemas.microsoft.com/office/drawing/2014/main" id="{00000000-0008-0000-0200-00005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4422" name="Option Button 86" hidden="1">
              <a:extLst>
                <a:ext uri="{63B3BB69-23CF-44E3-9099-C40C66FF867C}">
                  <a14:compatExt spid="_x0000_s14422"/>
                </a:ext>
                <a:ext uri="{FF2B5EF4-FFF2-40B4-BE49-F238E27FC236}">
                  <a16:creationId xmlns:a16="http://schemas.microsoft.com/office/drawing/2014/main" id="{00000000-0008-0000-0200-00005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4430" name="Group Box 94" hidden="1">
              <a:extLst>
                <a:ext uri="{63B3BB69-23CF-44E3-9099-C40C66FF867C}">
                  <a14:compatExt spid="_x0000_s14430"/>
                </a:ext>
                <a:ext uri="{FF2B5EF4-FFF2-40B4-BE49-F238E27FC236}">
                  <a16:creationId xmlns:a16="http://schemas.microsoft.com/office/drawing/2014/main" id="{00000000-0008-0000-0200-00005E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4437" name="Group Box 101" hidden="1">
              <a:extLst>
                <a:ext uri="{63B3BB69-23CF-44E3-9099-C40C66FF867C}">
                  <a14:compatExt spid="_x0000_s14437"/>
                </a:ext>
                <a:ext uri="{FF2B5EF4-FFF2-40B4-BE49-F238E27FC236}">
                  <a16:creationId xmlns:a16="http://schemas.microsoft.com/office/drawing/2014/main" id="{00000000-0008-0000-0200-000065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4438" name="Option Button 102" hidden="1">
              <a:extLst>
                <a:ext uri="{63B3BB69-23CF-44E3-9099-C40C66FF867C}">
                  <a14:compatExt spid="_x0000_s14438"/>
                </a:ext>
                <a:ext uri="{FF2B5EF4-FFF2-40B4-BE49-F238E27FC236}">
                  <a16:creationId xmlns:a16="http://schemas.microsoft.com/office/drawing/2014/main" id="{00000000-0008-0000-0200-00006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4439" name="Option Button 103" hidden="1">
              <a:extLst>
                <a:ext uri="{63B3BB69-23CF-44E3-9099-C40C66FF867C}">
                  <a14:compatExt spid="_x0000_s14439"/>
                </a:ext>
                <a:ext uri="{FF2B5EF4-FFF2-40B4-BE49-F238E27FC236}">
                  <a16:creationId xmlns:a16="http://schemas.microsoft.com/office/drawing/2014/main" id="{00000000-0008-0000-0200-00006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4442" name="Option Button 106" hidden="1">
              <a:extLst>
                <a:ext uri="{63B3BB69-23CF-44E3-9099-C40C66FF867C}">
                  <a14:compatExt spid="_x0000_s14442"/>
                </a:ext>
                <a:ext uri="{FF2B5EF4-FFF2-40B4-BE49-F238E27FC236}">
                  <a16:creationId xmlns:a16="http://schemas.microsoft.com/office/drawing/2014/main" id="{00000000-0008-0000-0200-00006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4443" name="Option Button 107" hidden="1">
              <a:extLst>
                <a:ext uri="{63B3BB69-23CF-44E3-9099-C40C66FF867C}">
                  <a14:compatExt spid="_x0000_s14443"/>
                </a:ext>
                <a:ext uri="{FF2B5EF4-FFF2-40B4-BE49-F238E27FC236}">
                  <a16:creationId xmlns:a16="http://schemas.microsoft.com/office/drawing/2014/main" id="{00000000-0008-0000-0200-00006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21857" name="Group Box 1" hidden="1">
              <a:extLst>
                <a:ext uri="{63B3BB69-23CF-44E3-9099-C40C66FF867C}">
                  <a14:compatExt spid="_x0000_s121857"/>
                </a:ext>
                <a:ext uri="{FF2B5EF4-FFF2-40B4-BE49-F238E27FC236}">
                  <a16:creationId xmlns:a16="http://schemas.microsoft.com/office/drawing/2014/main" id="{00000000-0008-0000-0300-000001D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3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21859" name="Option Button 3" hidden="1">
              <a:extLst>
                <a:ext uri="{63B3BB69-23CF-44E3-9099-C40C66FF867C}">
                  <a14:compatExt spid="_x0000_s121859"/>
                </a:ext>
                <a:ext uri="{FF2B5EF4-FFF2-40B4-BE49-F238E27FC236}">
                  <a16:creationId xmlns:a16="http://schemas.microsoft.com/office/drawing/2014/main" id="{00000000-0008-0000-0300-000003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21860" name="Group Box 4" hidden="1">
              <a:extLst>
                <a:ext uri="{63B3BB69-23CF-44E3-9099-C40C66FF867C}">
                  <a14:compatExt spid="_x0000_s121860"/>
                </a:ext>
                <a:ext uri="{FF2B5EF4-FFF2-40B4-BE49-F238E27FC236}">
                  <a16:creationId xmlns:a16="http://schemas.microsoft.com/office/drawing/2014/main" id="{00000000-0008-0000-0300-000004D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3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3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21863" name="Group Box 7" hidden="1">
              <a:extLst>
                <a:ext uri="{63B3BB69-23CF-44E3-9099-C40C66FF867C}">
                  <a14:compatExt spid="_x0000_s121863"/>
                </a:ext>
                <a:ext uri="{FF2B5EF4-FFF2-40B4-BE49-F238E27FC236}">
                  <a16:creationId xmlns:a16="http://schemas.microsoft.com/office/drawing/2014/main" id="{00000000-0008-0000-0300-000007D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21864" name="Option Button 8" hidden="1">
              <a:extLst>
                <a:ext uri="{63B3BB69-23CF-44E3-9099-C40C66FF867C}">
                  <a14:compatExt spid="_x0000_s121864"/>
                </a:ext>
                <a:ext uri="{FF2B5EF4-FFF2-40B4-BE49-F238E27FC236}">
                  <a16:creationId xmlns:a16="http://schemas.microsoft.com/office/drawing/2014/main" id="{00000000-0008-0000-0300-000008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21865" name="Option Button 9" hidden="1">
              <a:extLst>
                <a:ext uri="{63B3BB69-23CF-44E3-9099-C40C66FF867C}">
                  <a14:compatExt spid="_x0000_s121865"/>
                </a:ext>
                <a:ext uri="{FF2B5EF4-FFF2-40B4-BE49-F238E27FC236}">
                  <a16:creationId xmlns:a16="http://schemas.microsoft.com/office/drawing/2014/main" id="{00000000-0008-0000-0300-000009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21866" name="Group Box 10" hidden="1">
              <a:extLst>
                <a:ext uri="{63B3BB69-23CF-44E3-9099-C40C66FF867C}">
                  <a14:compatExt spid="_x0000_s121866"/>
                </a:ext>
                <a:ext uri="{FF2B5EF4-FFF2-40B4-BE49-F238E27FC236}">
                  <a16:creationId xmlns:a16="http://schemas.microsoft.com/office/drawing/2014/main" id="{00000000-0008-0000-0300-00000AD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21867" name="Option Button 11" hidden="1">
              <a:extLst>
                <a:ext uri="{63B3BB69-23CF-44E3-9099-C40C66FF867C}">
                  <a14:compatExt spid="_x0000_s121867"/>
                </a:ext>
                <a:ext uri="{FF2B5EF4-FFF2-40B4-BE49-F238E27FC236}">
                  <a16:creationId xmlns:a16="http://schemas.microsoft.com/office/drawing/2014/main" id="{00000000-0008-0000-0300-00000B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21868" name="Option Button 12" hidden="1">
              <a:extLst>
                <a:ext uri="{63B3BB69-23CF-44E3-9099-C40C66FF867C}">
                  <a14:compatExt spid="_x0000_s121868"/>
                </a:ext>
                <a:ext uri="{FF2B5EF4-FFF2-40B4-BE49-F238E27FC236}">
                  <a16:creationId xmlns:a16="http://schemas.microsoft.com/office/drawing/2014/main" id="{00000000-0008-0000-0300-00000C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21869" name="Group Box 13" hidden="1">
              <a:extLst>
                <a:ext uri="{63B3BB69-23CF-44E3-9099-C40C66FF867C}">
                  <a14:compatExt spid="_x0000_s121869"/>
                </a:ext>
                <a:ext uri="{FF2B5EF4-FFF2-40B4-BE49-F238E27FC236}">
                  <a16:creationId xmlns:a16="http://schemas.microsoft.com/office/drawing/2014/main" id="{00000000-0008-0000-0300-00000DD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21870" name="Option Button 14" hidden="1">
              <a:extLst>
                <a:ext uri="{63B3BB69-23CF-44E3-9099-C40C66FF867C}">
                  <a14:compatExt spid="_x0000_s121870"/>
                </a:ext>
                <a:ext uri="{FF2B5EF4-FFF2-40B4-BE49-F238E27FC236}">
                  <a16:creationId xmlns:a16="http://schemas.microsoft.com/office/drawing/2014/main" id="{00000000-0008-0000-0300-00000E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21871" name="Option Button 15" hidden="1">
              <a:extLst>
                <a:ext uri="{63B3BB69-23CF-44E3-9099-C40C66FF867C}">
                  <a14:compatExt spid="_x0000_s121871"/>
                </a:ext>
                <a:ext uri="{FF2B5EF4-FFF2-40B4-BE49-F238E27FC236}">
                  <a16:creationId xmlns:a16="http://schemas.microsoft.com/office/drawing/2014/main" id="{00000000-0008-0000-0300-00000F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21872" name="Check Box 16" hidden="1">
              <a:extLst>
                <a:ext uri="{63B3BB69-23CF-44E3-9099-C40C66FF867C}">
                  <a14:compatExt spid="_x0000_s121872"/>
                </a:ext>
                <a:ext uri="{FF2B5EF4-FFF2-40B4-BE49-F238E27FC236}">
                  <a16:creationId xmlns:a16="http://schemas.microsoft.com/office/drawing/2014/main" id="{00000000-0008-0000-0300-000010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21873" name="Group Box 17" hidden="1">
              <a:extLst>
                <a:ext uri="{63B3BB69-23CF-44E3-9099-C40C66FF867C}">
                  <a14:compatExt spid="_x0000_s121873"/>
                </a:ext>
                <a:ext uri="{FF2B5EF4-FFF2-40B4-BE49-F238E27FC236}">
                  <a16:creationId xmlns:a16="http://schemas.microsoft.com/office/drawing/2014/main" id="{00000000-0008-0000-0300-000011D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21874" name="Option Button 18" hidden="1">
              <a:extLst>
                <a:ext uri="{63B3BB69-23CF-44E3-9099-C40C66FF867C}">
                  <a14:compatExt spid="_x0000_s121874"/>
                </a:ext>
                <a:ext uri="{FF2B5EF4-FFF2-40B4-BE49-F238E27FC236}">
                  <a16:creationId xmlns:a16="http://schemas.microsoft.com/office/drawing/2014/main" id="{00000000-0008-0000-0300-00001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21875" name="Option Button 19" hidden="1">
              <a:extLst>
                <a:ext uri="{63B3BB69-23CF-44E3-9099-C40C66FF867C}">
                  <a14:compatExt spid="_x0000_s121875"/>
                </a:ext>
                <a:ext uri="{FF2B5EF4-FFF2-40B4-BE49-F238E27FC236}">
                  <a16:creationId xmlns:a16="http://schemas.microsoft.com/office/drawing/2014/main" id="{00000000-0008-0000-0300-000013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21876" name="Group Box 20" hidden="1">
              <a:extLst>
                <a:ext uri="{63B3BB69-23CF-44E3-9099-C40C66FF867C}">
                  <a14:compatExt spid="_x0000_s121876"/>
                </a:ext>
                <a:ext uri="{FF2B5EF4-FFF2-40B4-BE49-F238E27FC236}">
                  <a16:creationId xmlns:a16="http://schemas.microsoft.com/office/drawing/2014/main" id="{00000000-0008-0000-0300-000014D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21877" name="Group Box 21" hidden="1">
              <a:extLst>
                <a:ext uri="{63B3BB69-23CF-44E3-9099-C40C66FF867C}">
                  <a14:compatExt spid="_x0000_s121877"/>
                </a:ext>
                <a:ext uri="{FF2B5EF4-FFF2-40B4-BE49-F238E27FC236}">
                  <a16:creationId xmlns:a16="http://schemas.microsoft.com/office/drawing/2014/main" id="{00000000-0008-0000-0300-000015D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21878" name="Option Button 22" hidden="1">
              <a:extLst>
                <a:ext uri="{63B3BB69-23CF-44E3-9099-C40C66FF867C}">
                  <a14:compatExt spid="_x0000_s121878"/>
                </a:ext>
                <a:ext uri="{FF2B5EF4-FFF2-40B4-BE49-F238E27FC236}">
                  <a16:creationId xmlns:a16="http://schemas.microsoft.com/office/drawing/2014/main" id="{00000000-0008-0000-0300-00001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21879" name="Option Button 23" hidden="1">
              <a:extLst>
                <a:ext uri="{63B3BB69-23CF-44E3-9099-C40C66FF867C}">
                  <a14:compatExt spid="_x0000_s121879"/>
                </a:ext>
                <a:ext uri="{FF2B5EF4-FFF2-40B4-BE49-F238E27FC236}">
                  <a16:creationId xmlns:a16="http://schemas.microsoft.com/office/drawing/2014/main" id="{00000000-0008-0000-0300-00001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21880" name="Option Button 24" hidden="1">
              <a:extLst>
                <a:ext uri="{63B3BB69-23CF-44E3-9099-C40C66FF867C}">
                  <a14:compatExt spid="_x0000_s121880"/>
                </a:ext>
                <a:ext uri="{FF2B5EF4-FFF2-40B4-BE49-F238E27FC236}">
                  <a16:creationId xmlns:a16="http://schemas.microsoft.com/office/drawing/2014/main" id="{00000000-0008-0000-0300-000018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21881" name="Option Button 25" hidden="1">
              <a:extLst>
                <a:ext uri="{63B3BB69-23CF-44E3-9099-C40C66FF867C}">
                  <a14:compatExt spid="_x0000_s121881"/>
                </a:ext>
                <a:ext uri="{FF2B5EF4-FFF2-40B4-BE49-F238E27FC236}">
                  <a16:creationId xmlns:a16="http://schemas.microsoft.com/office/drawing/2014/main" id="{00000000-0008-0000-0300-000019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22881" name="Group Box 1" hidden="1">
              <a:extLst>
                <a:ext uri="{63B3BB69-23CF-44E3-9099-C40C66FF867C}">
                  <a14:compatExt spid="_x0000_s122881"/>
                </a:ext>
                <a:ext uri="{FF2B5EF4-FFF2-40B4-BE49-F238E27FC236}">
                  <a16:creationId xmlns:a16="http://schemas.microsoft.com/office/drawing/2014/main" id="{00000000-0008-0000-0400-000001E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22882" name="Option Button 2" hidden="1">
              <a:extLst>
                <a:ext uri="{63B3BB69-23CF-44E3-9099-C40C66FF867C}">
                  <a14:compatExt spid="_x0000_s122882"/>
                </a:ext>
                <a:ext uri="{FF2B5EF4-FFF2-40B4-BE49-F238E27FC236}">
                  <a16:creationId xmlns:a16="http://schemas.microsoft.com/office/drawing/2014/main" id="{00000000-0008-0000-0400-000002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22883" name="Option Button 3" hidden="1">
              <a:extLst>
                <a:ext uri="{63B3BB69-23CF-44E3-9099-C40C66FF867C}">
                  <a14:compatExt spid="_x0000_s122883"/>
                </a:ext>
                <a:ext uri="{FF2B5EF4-FFF2-40B4-BE49-F238E27FC236}">
                  <a16:creationId xmlns:a16="http://schemas.microsoft.com/office/drawing/2014/main" id="{00000000-0008-0000-0400-000003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22884" name="Group Box 4" hidden="1">
              <a:extLst>
                <a:ext uri="{63B3BB69-23CF-44E3-9099-C40C66FF867C}">
                  <a14:compatExt spid="_x0000_s122884"/>
                </a:ext>
                <a:ext uri="{FF2B5EF4-FFF2-40B4-BE49-F238E27FC236}">
                  <a16:creationId xmlns:a16="http://schemas.microsoft.com/office/drawing/2014/main" id="{00000000-0008-0000-0400-000004E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22885" name="Option Button 5" hidden="1">
              <a:extLst>
                <a:ext uri="{63B3BB69-23CF-44E3-9099-C40C66FF867C}">
                  <a14:compatExt spid="_x0000_s122885"/>
                </a:ext>
                <a:ext uri="{FF2B5EF4-FFF2-40B4-BE49-F238E27FC236}">
                  <a16:creationId xmlns:a16="http://schemas.microsoft.com/office/drawing/2014/main" id="{00000000-0008-0000-0400-000005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22886" name="Option Button 6" hidden="1">
              <a:extLst>
                <a:ext uri="{63B3BB69-23CF-44E3-9099-C40C66FF867C}">
                  <a14:compatExt spid="_x0000_s122886"/>
                </a:ext>
                <a:ext uri="{FF2B5EF4-FFF2-40B4-BE49-F238E27FC236}">
                  <a16:creationId xmlns:a16="http://schemas.microsoft.com/office/drawing/2014/main" id="{00000000-0008-0000-0400-000006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22887" name="Group Box 7" hidden="1">
              <a:extLst>
                <a:ext uri="{63B3BB69-23CF-44E3-9099-C40C66FF867C}">
                  <a14:compatExt spid="_x0000_s122887"/>
                </a:ext>
                <a:ext uri="{FF2B5EF4-FFF2-40B4-BE49-F238E27FC236}">
                  <a16:creationId xmlns:a16="http://schemas.microsoft.com/office/drawing/2014/main" id="{00000000-0008-0000-0400-000007E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22888" name="Option Button 8" hidden="1">
              <a:extLst>
                <a:ext uri="{63B3BB69-23CF-44E3-9099-C40C66FF867C}">
                  <a14:compatExt spid="_x0000_s122888"/>
                </a:ext>
                <a:ext uri="{FF2B5EF4-FFF2-40B4-BE49-F238E27FC236}">
                  <a16:creationId xmlns:a16="http://schemas.microsoft.com/office/drawing/2014/main" id="{00000000-0008-0000-0400-000008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22889" name="Option Button 9" hidden="1">
              <a:extLst>
                <a:ext uri="{63B3BB69-23CF-44E3-9099-C40C66FF867C}">
                  <a14:compatExt spid="_x0000_s122889"/>
                </a:ext>
                <a:ext uri="{FF2B5EF4-FFF2-40B4-BE49-F238E27FC236}">
                  <a16:creationId xmlns:a16="http://schemas.microsoft.com/office/drawing/2014/main" id="{00000000-0008-0000-0400-000009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22890" name="Group Box 10" hidden="1">
              <a:extLst>
                <a:ext uri="{63B3BB69-23CF-44E3-9099-C40C66FF867C}">
                  <a14:compatExt spid="_x0000_s122890"/>
                </a:ext>
                <a:ext uri="{FF2B5EF4-FFF2-40B4-BE49-F238E27FC236}">
                  <a16:creationId xmlns:a16="http://schemas.microsoft.com/office/drawing/2014/main" id="{00000000-0008-0000-0400-00000AE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22891" name="Option Button 11" hidden="1">
              <a:extLst>
                <a:ext uri="{63B3BB69-23CF-44E3-9099-C40C66FF867C}">
                  <a14:compatExt spid="_x0000_s122891"/>
                </a:ext>
                <a:ext uri="{FF2B5EF4-FFF2-40B4-BE49-F238E27FC236}">
                  <a16:creationId xmlns:a16="http://schemas.microsoft.com/office/drawing/2014/main" id="{00000000-0008-0000-0400-00000B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22892" name="Option Button 12" hidden="1">
              <a:extLst>
                <a:ext uri="{63B3BB69-23CF-44E3-9099-C40C66FF867C}">
                  <a14:compatExt spid="_x0000_s122892"/>
                </a:ext>
                <a:ext uri="{FF2B5EF4-FFF2-40B4-BE49-F238E27FC236}">
                  <a16:creationId xmlns:a16="http://schemas.microsoft.com/office/drawing/2014/main" id="{00000000-0008-0000-0400-00000C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22893" name="Group Box 13" hidden="1">
              <a:extLst>
                <a:ext uri="{63B3BB69-23CF-44E3-9099-C40C66FF867C}">
                  <a14:compatExt spid="_x0000_s122893"/>
                </a:ext>
                <a:ext uri="{FF2B5EF4-FFF2-40B4-BE49-F238E27FC236}">
                  <a16:creationId xmlns:a16="http://schemas.microsoft.com/office/drawing/2014/main" id="{00000000-0008-0000-0400-00000DE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22894" name="Option Button 14" hidden="1">
              <a:extLst>
                <a:ext uri="{63B3BB69-23CF-44E3-9099-C40C66FF867C}">
                  <a14:compatExt spid="_x0000_s122894"/>
                </a:ext>
                <a:ext uri="{FF2B5EF4-FFF2-40B4-BE49-F238E27FC236}">
                  <a16:creationId xmlns:a16="http://schemas.microsoft.com/office/drawing/2014/main" id="{00000000-0008-0000-0400-00000E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22895" name="Option Button 15" hidden="1">
              <a:extLst>
                <a:ext uri="{63B3BB69-23CF-44E3-9099-C40C66FF867C}">
                  <a14:compatExt spid="_x0000_s122895"/>
                </a:ext>
                <a:ext uri="{FF2B5EF4-FFF2-40B4-BE49-F238E27FC236}">
                  <a16:creationId xmlns:a16="http://schemas.microsoft.com/office/drawing/2014/main" id="{00000000-0008-0000-0400-00000F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22896" name="Check Box 16" hidden="1">
              <a:extLst>
                <a:ext uri="{63B3BB69-23CF-44E3-9099-C40C66FF867C}">
                  <a14:compatExt spid="_x0000_s122896"/>
                </a:ext>
                <a:ext uri="{FF2B5EF4-FFF2-40B4-BE49-F238E27FC236}">
                  <a16:creationId xmlns:a16="http://schemas.microsoft.com/office/drawing/2014/main" id="{00000000-0008-0000-0400-000010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22897" name="Group Box 17" hidden="1">
              <a:extLst>
                <a:ext uri="{63B3BB69-23CF-44E3-9099-C40C66FF867C}">
                  <a14:compatExt spid="_x0000_s122897"/>
                </a:ext>
                <a:ext uri="{FF2B5EF4-FFF2-40B4-BE49-F238E27FC236}">
                  <a16:creationId xmlns:a16="http://schemas.microsoft.com/office/drawing/2014/main" id="{00000000-0008-0000-0400-000011E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22898" name="Option Button 18" hidden="1">
              <a:extLst>
                <a:ext uri="{63B3BB69-23CF-44E3-9099-C40C66FF867C}">
                  <a14:compatExt spid="_x0000_s122898"/>
                </a:ext>
                <a:ext uri="{FF2B5EF4-FFF2-40B4-BE49-F238E27FC236}">
                  <a16:creationId xmlns:a16="http://schemas.microsoft.com/office/drawing/2014/main" id="{00000000-0008-0000-0400-000012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22899" name="Option Button 19" hidden="1">
              <a:extLst>
                <a:ext uri="{63B3BB69-23CF-44E3-9099-C40C66FF867C}">
                  <a14:compatExt spid="_x0000_s122899"/>
                </a:ext>
                <a:ext uri="{FF2B5EF4-FFF2-40B4-BE49-F238E27FC236}">
                  <a16:creationId xmlns:a16="http://schemas.microsoft.com/office/drawing/2014/main" id="{00000000-0008-0000-0400-000013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22900" name="Group Box 20" hidden="1">
              <a:extLst>
                <a:ext uri="{63B3BB69-23CF-44E3-9099-C40C66FF867C}">
                  <a14:compatExt spid="_x0000_s122900"/>
                </a:ext>
                <a:ext uri="{FF2B5EF4-FFF2-40B4-BE49-F238E27FC236}">
                  <a16:creationId xmlns:a16="http://schemas.microsoft.com/office/drawing/2014/main" id="{00000000-0008-0000-0400-000014E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22901" name="Group Box 21" hidden="1">
              <a:extLst>
                <a:ext uri="{63B3BB69-23CF-44E3-9099-C40C66FF867C}">
                  <a14:compatExt spid="_x0000_s122901"/>
                </a:ext>
                <a:ext uri="{FF2B5EF4-FFF2-40B4-BE49-F238E27FC236}">
                  <a16:creationId xmlns:a16="http://schemas.microsoft.com/office/drawing/2014/main" id="{00000000-0008-0000-0400-000015E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22902" name="Option Button 22" hidden="1">
              <a:extLst>
                <a:ext uri="{63B3BB69-23CF-44E3-9099-C40C66FF867C}">
                  <a14:compatExt spid="_x0000_s122902"/>
                </a:ext>
                <a:ext uri="{FF2B5EF4-FFF2-40B4-BE49-F238E27FC236}">
                  <a16:creationId xmlns:a16="http://schemas.microsoft.com/office/drawing/2014/main" id="{00000000-0008-0000-0400-000016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22903" name="Option Button 23" hidden="1">
              <a:extLst>
                <a:ext uri="{63B3BB69-23CF-44E3-9099-C40C66FF867C}">
                  <a14:compatExt spid="_x0000_s122903"/>
                </a:ext>
                <a:ext uri="{FF2B5EF4-FFF2-40B4-BE49-F238E27FC236}">
                  <a16:creationId xmlns:a16="http://schemas.microsoft.com/office/drawing/2014/main" id="{00000000-0008-0000-0400-000017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22904" name="Option Button 24" hidden="1">
              <a:extLst>
                <a:ext uri="{63B3BB69-23CF-44E3-9099-C40C66FF867C}">
                  <a14:compatExt spid="_x0000_s122904"/>
                </a:ext>
                <a:ext uri="{FF2B5EF4-FFF2-40B4-BE49-F238E27FC236}">
                  <a16:creationId xmlns:a16="http://schemas.microsoft.com/office/drawing/2014/main" id="{00000000-0008-0000-0400-000018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22905" name="Option Button 25" hidden="1">
              <a:extLst>
                <a:ext uri="{63B3BB69-23CF-44E3-9099-C40C66FF867C}">
                  <a14:compatExt spid="_x0000_s122905"/>
                </a:ext>
                <a:ext uri="{FF2B5EF4-FFF2-40B4-BE49-F238E27FC236}">
                  <a16:creationId xmlns:a16="http://schemas.microsoft.com/office/drawing/2014/main" id="{00000000-0008-0000-0400-000019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23905" name="Group Box 1" hidden="1">
              <a:extLst>
                <a:ext uri="{63B3BB69-23CF-44E3-9099-C40C66FF867C}">
                  <a14:compatExt spid="_x0000_s123905"/>
                </a:ext>
                <a:ext uri="{FF2B5EF4-FFF2-40B4-BE49-F238E27FC236}">
                  <a16:creationId xmlns:a16="http://schemas.microsoft.com/office/drawing/2014/main" id="{00000000-0008-0000-0500-000001E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23906" name="Option Button 2" hidden="1">
              <a:extLst>
                <a:ext uri="{63B3BB69-23CF-44E3-9099-C40C66FF867C}">
                  <a14:compatExt spid="_x0000_s123906"/>
                </a:ext>
                <a:ext uri="{FF2B5EF4-FFF2-40B4-BE49-F238E27FC236}">
                  <a16:creationId xmlns:a16="http://schemas.microsoft.com/office/drawing/2014/main" id="{00000000-0008-0000-0500-000002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23907" name="Option Button 3" hidden="1">
              <a:extLst>
                <a:ext uri="{63B3BB69-23CF-44E3-9099-C40C66FF867C}">
                  <a14:compatExt spid="_x0000_s123907"/>
                </a:ext>
                <a:ext uri="{FF2B5EF4-FFF2-40B4-BE49-F238E27FC236}">
                  <a16:creationId xmlns:a16="http://schemas.microsoft.com/office/drawing/2014/main" id="{00000000-0008-0000-0500-000003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23908" name="Group Box 4" hidden="1">
              <a:extLst>
                <a:ext uri="{63B3BB69-23CF-44E3-9099-C40C66FF867C}">
                  <a14:compatExt spid="_x0000_s123908"/>
                </a:ext>
                <a:ext uri="{FF2B5EF4-FFF2-40B4-BE49-F238E27FC236}">
                  <a16:creationId xmlns:a16="http://schemas.microsoft.com/office/drawing/2014/main" id="{00000000-0008-0000-0500-000004E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23909" name="Option Button 5" hidden="1">
              <a:extLst>
                <a:ext uri="{63B3BB69-23CF-44E3-9099-C40C66FF867C}">
                  <a14:compatExt spid="_x0000_s123909"/>
                </a:ext>
                <a:ext uri="{FF2B5EF4-FFF2-40B4-BE49-F238E27FC236}">
                  <a16:creationId xmlns:a16="http://schemas.microsoft.com/office/drawing/2014/main" id="{00000000-0008-0000-0500-000005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23910" name="Option Button 6" hidden="1">
              <a:extLst>
                <a:ext uri="{63B3BB69-23CF-44E3-9099-C40C66FF867C}">
                  <a14:compatExt spid="_x0000_s123910"/>
                </a:ext>
                <a:ext uri="{FF2B5EF4-FFF2-40B4-BE49-F238E27FC236}">
                  <a16:creationId xmlns:a16="http://schemas.microsoft.com/office/drawing/2014/main" id="{00000000-0008-0000-0500-000006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23911" name="Group Box 7" hidden="1">
              <a:extLst>
                <a:ext uri="{63B3BB69-23CF-44E3-9099-C40C66FF867C}">
                  <a14:compatExt spid="_x0000_s123911"/>
                </a:ext>
                <a:ext uri="{FF2B5EF4-FFF2-40B4-BE49-F238E27FC236}">
                  <a16:creationId xmlns:a16="http://schemas.microsoft.com/office/drawing/2014/main" id="{00000000-0008-0000-0500-000007E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23912" name="Option Button 8" hidden="1">
              <a:extLst>
                <a:ext uri="{63B3BB69-23CF-44E3-9099-C40C66FF867C}">
                  <a14:compatExt spid="_x0000_s123912"/>
                </a:ext>
                <a:ext uri="{FF2B5EF4-FFF2-40B4-BE49-F238E27FC236}">
                  <a16:creationId xmlns:a16="http://schemas.microsoft.com/office/drawing/2014/main" id="{00000000-0008-0000-0500-000008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23913" name="Option Button 9" hidden="1">
              <a:extLst>
                <a:ext uri="{63B3BB69-23CF-44E3-9099-C40C66FF867C}">
                  <a14:compatExt spid="_x0000_s123913"/>
                </a:ext>
                <a:ext uri="{FF2B5EF4-FFF2-40B4-BE49-F238E27FC236}">
                  <a16:creationId xmlns:a16="http://schemas.microsoft.com/office/drawing/2014/main" id="{00000000-0008-0000-0500-000009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23914" name="Group Box 10" hidden="1">
              <a:extLst>
                <a:ext uri="{63B3BB69-23CF-44E3-9099-C40C66FF867C}">
                  <a14:compatExt spid="_x0000_s123914"/>
                </a:ext>
                <a:ext uri="{FF2B5EF4-FFF2-40B4-BE49-F238E27FC236}">
                  <a16:creationId xmlns:a16="http://schemas.microsoft.com/office/drawing/2014/main" id="{00000000-0008-0000-0500-00000AE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23915" name="Option Button 11" hidden="1">
              <a:extLst>
                <a:ext uri="{63B3BB69-23CF-44E3-9099-C40C66FF867C}">
                  <a14:compatExt spid="_x0000_s123915"/>
                </a:ext>
                <a:ext uri="{FF2B5EF4-FFF2-40B4-BE49-F238E27FC236}">
                  <a16:creationId xmlns:a16="http://schemas.microsoft.com/office/drawing/2014/main" id="{00000000-0008-0000-0500-00000B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23916" name="Option Button 12" hidden="1">
              <a:extLst>
                <a:ext uri="{63B3BB69-23CF-44E3-9099-C40C66FF867C}">
                  <a14:compatExt spid="_x0000_s123916"/>
                </a:ext>
                <a:ext uri="{FF2B5EF4-FFF2-40B4-BE49-F238E27FC236}">
                  <a16:creationId xmlns:a16="http://schemas.microsoft.com/office/drawing/2014/main" id="{00000000-0008-0000-0500-00000C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23917" name="Group Box 13" hidden="1">
              <a:extLst>
                <a:ext uri="{63B3BB69-23CF-44E3-9099-C40C66FF867C}">
                  <a14:compatExt spid="_x0000_s123917"/>
                </a:ext>
                <a:ext uri="{FF2B5EF4-FFF2-40B4-BE49-F238E27FC236}">
                  <a16:creationId xmlns:a16="http://schemas.microsoft.com/office/drawing/2014/main" id="{00000000-0008-0000-0500-00000DE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23918" name="Option Button 14" hidden="1">
              <a:extLst>
                <a:ext uri="{63B3BB69-23CF-44E3-9099-C40C66FF867C}">
                  <a14:compatExt spid="_x0000_s123918"/>
                </a:ext>
                <a:ext uri="{FF2B5EF4-FFF2-40B4-BE49-F238E27FC236}">
                  <a16:creationId xmlns:a16="http://schemas.microsoft.com/office/drawing/2014/main" id="{00000000-0008-0000-0500-00000E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23919" name="Option Button 15" hidden="1">
              <a:extLst>
                <a:ext uri="{63B3BB69-23CF-44E3-9099-C40C66FF867C}">
                  <a14:compatExt spid="_x0000_s123919"/>
                </a:ext>
                <a:ext uri="{FF2B5EF4-FFF2-40B4-BE49-F238E27FC236}">
                  <a16:creationId xmlns:a16="http://schemas.microsoft.com/office/drawing/2014/main" id="{00000000-0008-0000-0500-00000F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23920" name="Check Box 16" hidden="1">
              <a:extLst>
                <a:ext uri="{63B3BB69-23CF-44E3-9099-C40C66FF867C}">
                  <a14:compatExt spid="_x0000_s123920"/>
                </a:ext>
                <a:ext uri="{FF2B5EF4-FFF2-40B4-BE49-F238E27FC236}">
                  <a16:creationId xmlns:a16="http://schemas.microsoft.com/office/drawing/2014/main" id="{00000000-0008-0000-0500-000010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23921" name="Group Box 17" hidden="1">
              <a:extLst>
                <a:ext uri="{63B3BB69-23CF-44E3-9099-C40C66FF867C}">
                  <a14:compatExt spid="_x0000_s123921"/>
                </a:ext>
                <a:ext uri="{FF2B5EF4-FFF2-40B4-BE49-F238E27FC236}">
                  <a16:creationId xmlns:a16="http://schemas.microsoft.com/office/drawing/2014/main" id="{00000000-0008-0000-0500-000011E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23922" name="Option Button 18" hidden="1">
              <a:extLst>
                <a:ext uri="{63B3BB69-23CF-44E3-9099-C40C66FF867C}">
                  <a14:compatExt spid="_x0000_s123922"/>
                </a:ext>
                <a:ext uri="{FF2B5EF4-FFF2-40B4-BE49-F238E27FC236}">
                  <a16:creationId xmlns:a16="http://schemas.microsoft.com/office/drawing/2014/main" id="{00000000-0008-0000-0500-000012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23923" name="Option Button 19" hidden="1">
              <a:extLst>
                <a:ext uri="{63B3BB69-23CF-44E3-9099-C40C66FF867C}">
                  <a14:compatExt spid="_x0000_s123923"/>
                </a:ext>
                <a:ext uri="{FF2B5EF4-FFF2-40B4-BE49-F238E27FC236}">
                  <a16:creationId xmlns:a16="http://schemas.microsoft.com/office/drawing/2014/main" id="{00000000-0008-0000-0500-000013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23924" name="Group Box 20" hidden="1">
              <a:extLst>
                <a:ext uri="{63B3BB69-23CF-44E3-9099-C40C66FF867C}">
                  <a14:compatExt spid="_x0000_s123924"/>
                </a:ext>
                <a:ext uri="{FF2B5EF4-FFF2-40B4-BE49-F238E27FC236}">
                  <a16:creationId xmlns:a16="http://schemas.microsoft.com/office/drawing/2014/main" id="{00000000-0008-0000-0500-000014E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23925" name="Group Box 21" hidden="1">
              <a:extLst>
                <a:ext uri="{63B3BB69-23CF-44E3-9099-C40C66FF867C}">
                  <a14:compatExt spid="_x0000_s123925"/>
                </a:ext>
                <a:ext uri="{FF2B5EF4-FFF2-40B4-BE49-F238E27FC236}">
                  <a16:creationId xmlns:a16="http://schemas.microsoft.com/office/drawing/2014/main" id="{00000000-0008-0000-0500-000015E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23926" name="Option Button 22" hidden="1">
              <a:extLst>
                <a:ext uri="{63B3BB69-23CF-44E3-9099-C40C66FF867C}">
                  <a14:compatExt spid="_x0000_s123926"/>
                </a:ext>
                <a:ext uri="{FF2B5EF4-FFF2-40B4-BE49-F238E27FC236}">
                  <a16:creationId xmlns:a16="http://schemas.microsoft.com/office/drawing/2014/main" id="{00000000-0008-0000-0500-000016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23927" name="Option Button 23" hidden="1">
              <a:extLst>
                <a:ext uri="{63B3BB69-23CF-44E3-9099-C40C66FF867C}">
                  <a14:compatExt spid="_x0000_s123927"/>
                </a:ext>
                <a:ext uri="{FF2B5EF4-FFF2-40B4-BE49-F238E27FC236}">
                  <a16:creationId xmlns:a16="http://schemas.microsoft.com/office/drawing/2014/main" id="{00000000-0008-0000-0500-000017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23928" name="Option Button 24" hidden="1">
              <a:extLst>
                <a:ext uri="{63B3BB69-23CF-44E3-9099-C40C66FF867C}">
                  <a14:compatExt spid="_x0000_s123928"/>
                </a:ext>
                <a:ext uri="{FF2B5EF4-FFF2-40B4-BE49-F238E27FC236}">
                  <a16:creationId xmlns:a16="http://schemas.microsoft.com/office/drawing/2014/main" id="{00000000-0008-0000-0500-000018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23929" name="Option Button 25" hidden="1">
              <a:extLst>
                <a:ext uri="{63B3BB69-23CF-44E3-9099-C40C66FF867C}">
                  <a14:compatExt spid="_x0000_s123929"/>
                </a:ext>
                <a:ext uri="{FF2B5EF4-FFF2-40B4-BE49-F238E27FC236}">
                  <a16:creationId xmlns:a16="http://schemas.microsoft.com/office/drawing/2014/main" id="{00000000-0008-0000-0500-000019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34145" name="Group Box 1" hidden="1">
              <a:extLst>
                <a:ext uri="{63B3BB69-23CF-44E3-9099-C40C66FF867C}">
                  <a14:compatExt spid="_x0000_s134145"/>
                </a:ext>
                <a:ext uri="{FF2B5EF4-FFF2-40B4-BE49-F238E27FC236}">
                  <a16:creationId xmlns:a16="http://schemas.microsoft.com/office/drawing/2014/main" id="{00000000-0008-0000-0600-0000010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34146" name="Option Button 2" hidden="1">
              <a:extLst>
                <a:ext uri="{63B3BB69-23CF-44E3-9099-C40C66FF867C}">
                  <a14:compatExt spid="_x0000_s134146"/>
                </a:ext>
                <a:ext uri="{FF2B5EF4-FFF2-40B4-BE49-F238E27FC236}">
                  <a16:creationId xmlns:a16="http://schemas.microsoft.com/office/drawing/2014/main" id="{00000000-0008-0000-0600-000002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34147" name="Option Button 3" hidden="1">
              <a:extLst>
                <a:ext uri="{63B3BB69-23CF-44E3-9099-C40C66FF867C}">
                  <a14:compatExt spid="_x0000_s134147"/>
                </a:ext>
                <a:ext uri="{FF2B5EF4-FFF2-40B4-BE49-F238E27FC236}">
                  <a16:creationId xmlns:a16="http://schemas.microsoft.com/office/drawing/2014/main" id="{00000000-0008-0000-0600-000003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34148" name="Group Box 4" hidden="1">
              <a:extLst>
                <a:ext uri="{63B3BB69-23CF-44E3-9099-C40C66FF867C}">
                  <a14:compatExt spid="_x0000_s134148"/>
                </a:ext>
                <a:ext uri="{FF2B5EF4-FFF2-40B4-BE49-F238E27FC236}">
                  <a16:creationId xmlns:a16="http://schemas.microsoft.com/office/drawing/2014/main" id="{00000000-0008-0000-0600-0000040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34149" name="Option Button 5" hidden="1">
              <a:extLst>
                <a:ext uri="{63B3BB69-23CF-44E3-9099-C40C66FF867C}">
                  <a14:compatExt spid="_x0000_s134149"/>
                </a:ext>
                <a:ext uri="{FF2B5EF4-FFF2-40B4-BE49-F238E27FC236}">
                  <a16:creationId xmlns:a16="http://schemas.microsoft.com/office/drawing/2014/main" id="{00000000-0008-0000-0600-000005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34150" name="Option Button 6" hidden="1">
              <a:extLst>
                <a:ext uri="{63B3BB69-23CF-44E3-9099-C40C66FF867C}">
                  <a14:compatExt spid="_x0000_s134150"/>
                </a:ext>
                <a:ext uri="{FF2B5EF4-FFF2-40B4-BE49-F238E27FC236}">
                  <a16:creationId xmlns:a16="http://schemas.microsoft.com/office/drawing/2014/main" id="{00000000-0008-0000-0600-000006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34151" name="Group Box 7" hidden="1">
              <a:extLst>
                <a:ext uri="{63B3BB69-23CF-44E3-9099-C40C66FF867C}">
                  <a14:compatExt spid="_x0000_s134151"/>
                </a:ext>
                <a:ext uri="{FF2B5EF4-FFF2-40B4-BE49-F238E27FC236}">
                  <a16:creationId xmlns:a16="http://schemas.microsoft.com/office/drawing/2014/main" id="{00000000-0008-0000-0600-0000070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34152" name="Option Button 8" hidden="1">
              <a:extLst>
                <a:ext uri="{63B3BB69-23CF-44E3-9099-C40C66FF867C}">
                  <a14:compatExt spid="_x0000_s134152"/>
                </a:ext>
                <a:ext uri="{FF2B5EF4-FFF2-40B4-BE49-F238E27FC236}">
                  <a16:creationId xmlns:a16="http://schemas.microsoft.com/office/drawing/2014/main" id="{00000000-0008-0000-0600-000008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34153" name="Option Button 9" hidden="1">
              <a:extLst>
                <a:ext uri="{63B3BB69-23CF-44E3-9099-C40C66FF867C}">
                  <a14:compatExt spid="_x0000_s134153"/>
                </a:ext>
                <a:ext uri="{FF2B5EF4-FFF2-40B4-BE49-F238E27FC236}">
                  <a16:creationId xmlns:a16="http://schemas.microsoft.com/office/drawing/2014/main" id="{00000000-0008-0000-0600-000009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34154" name="Group Box 10" hidden="1">
              <a:extLst>
                <a:ext uri="{63B3BB69-23CF-44E3-9099-C40C66FF867C}">
                  <a14:compatExt spid="_x0000_s134154"/>
                </a:ext>
                <a:ext uri="{FF2B5EF4-FFF2-40B4-BE49-F238E27FC236}">
                  <a16:creationId xmlns:a16="http://schemas.microsoft.com/office/drawing/2014/main" id="{00000000-0008-0000-0600-00000A0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34155" name="Option Button 11" hidden="1">
              <a:extLst>
                <a:ext uri="{63B3BB69-23CF-44E3-9099-C40C66FF867C}">
                  <a14:compatExt spid="_x0000_s134155"/>
                </a:ext>
                <a:ext uri="{FF2B5EF4-FFF2-40B4-BE49-F238E27FC236}">
                  <a16:creationId xmlns:a16="http://schemas.microsoft.com/office/drawing/2014/main" id="{00000000-0008-0000-0600-00000B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34156" name="Option Button 12" hidden="1">
              <a:extLst>
                <a:ext uri="{63B3BB69-23CF-44E3-9099-C40C66FF867C}">
                  <a14:compatExt spid="_x0000_s134156"/>
                </a:ext>
                <a:ext uri="{FF2B5EF4-FFF2-40B4-BE49-F238E27FC236}">
                  <a16:creationId xmlns:a16="http://schemas.microsoft.com/office/drawing/2014/main" id="{00000000-0008-0000-0600-00000C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34157" name="Group Box 13" hidden="1">
              <a:extLst>
                <a:ext uri="{63B3BB69-23CF-44E3-9099-C40C66FF867C}">
                  <a14:compatExt spid="_x0000_s134157"/>
                </a:ext>
                <a:ext uri="{FF2B5EF4-FFF2-40B4-BE49-F238E27FC236}">
                  <a16:creationId xmlns:a16="http://schemas.microsoft.com/office/drawing/2014/main" id="{00000000-0008-0000-0600-00000D0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34158" name="Option Button 14" hidden="1">
              <a:extLst>
                <a:ext uri="{63B3BB69-23CF-44E3-9099-C40C66FF867C}">
                  <a14:compatExt spid="_x0000_s134158"/>
                </a:ext>
                <a:ext uri="{FF2B5EF4-FFF2-40B4-BE49-F238E27FC236}">
                  <a16:creationId xmlns:a16="http://schemas.microsoft.com/office/drawing/2014/main" id="{00000000-0008-0000-0600-00000E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34159" name="Option Button 15" hidden="1">
              <a:extLst>
                <a:ext uri="{63B3BB69-23CF-44E3-9099-C40C66FF867C}">
                  <a14:compatExt spid="_x0000_s134159"/>
                </a:ext>
                <a:ext uri="{FF2B5EF4-FFF2-40B4-BE49-F238E27FC236}">
                  <a16:creationId xmlns:a16="http://schemas.microsoft.com/office/drawing/2014/main" id="{00000000-0008-0000-0600-00000F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34160" name="Check Box 16" hidden="1">
              <a:extLst>
                <a:ext uri="{63B3BB69-23CF-44E3-9099-C40C66FF867C}">
                  <a14:compatExt spid="_x0000_s134160"/>
                </a:ext>
                <a:ext uri="{FF2B5EF4-FFF2-40B4-BE49-F238E27FC236}">
                  <a16:creationId xmlns:a16="http://schemas.microsoft.com/office/drawing/2014/main" id="{00000000-0008-0000-0600-000010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34161" name="Group Box 17" hidden="1">
              <a:extLst>
                <a:ext uri="{63B3BB69-23CF-44E3-9099-C40C66FF867C}">
                  <a14:compatExt spid="_x0000_s134161"/>
                </a:ext>
                <a:ext uri="{FF2B5EF4-FFF2-40B4-BE49-F238E27FC236}">
                  <a16:creationId xmlns:a16="http://schemas.microsoft.com/office/drawing/2014/main" id="{00000000-0008-0000-0600-0000110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34162" name="Option Button 18" hidden="1">
              <a:extLst>
                <a:ext uri="{63B3BB69-23CF-44E3-9099-C40C66FF867C}">
                  <a14:compatExt spid="_x0000_s134162"/>
                </a:ext>
                <a:ext uri="{FF2B5EF4-FFF2-40B4-BE49-F238E27FC236}">
                  <a16:creationId xmlns:a16="http://schemas.microsoft.com/office/drawing/2014/main" id="{00000000-0008-0000-0600-000012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34163" name="Option Button 19" hidden="1">
              <a:extLst>
                <a:ext uri="{63B3BB69-23CF-44E3-9099-C40C66FF867C}">
                  <a14:compatExt spid="_x0000_s134163"/>
                </a:ext>
                <a:ext uri="{FF2B5EF4-FFF2-40B4-BE49-F238E27FC236}">
                  <a16:creationId xmlns:a16="http://schemas.microsoft.com/office/drawing/2014/main" id="{00000000-0008-0000-0600-000013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34164" name="Group Box 20" hidden="1">
              <a:extLst>
                <a:ext uri="{63B3BB69-23CF-44E3-9099-C40C66FF867C}">
                  <a14:compatExt spid="_x0000_s134164"/>
                </a:ext>
                <a:ext uri="{FF2B5EF4-FFF2-40B4-BE49-F238E27FC236}">
                  <a16:creationId xmlns:a16="http://schemas.microsoft.com/office/drawing/2014/main" id="{00000000-0008-0000-0600-0000140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34165" name="Group Box 21" hidden="1">
              <a:extLst>
                <a:ext uri="{63B3BB69-23CF-44E3-9099-C40C66FF867C}">
                  <a14:compatExt spid="_x0000_s134165"/>
                </a:ext>
                <a:ext uri="{FF2B5EF4-FFF2-40B4-BE49-F238E27FC236}">
                  <a16:creationId xmlns:a16="http://schemas.microsoft.com/office/drawing/2014/main" id="{00000000-0008-0000-0600-0000150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34166" name="Option Button 22" hidden="1">
              <a:extLst>
                <a:ext uri="{63B3BB69-23CF-44E3-9099-C40C66FF867C}">
                  <a14:compatExt spid="_x0000_s134166"/>
                </a:ext>
                <a:ext uri="{FF2B5EF4-FFF2-40B4-BE49-F238E27FC236}">
                  <a16:creationId xmlns:a16="http://schemas.microsoft.com/office/drawing/2014/main" id="{00000000-0008-0000-0600-000016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34167" name="Option Button 23" hidden="1">
              <a:extLst>
                <a:ext uri="{63B3BB69-23CF-44E3-9099-C40C66FF867C}">
                  <a14:compatExt spid="_x0000_s134167"/>
                </a:ext>
                <a:ext uri="{FF2B5EF4-FFF2-40B4-BE49-F238E27FC236}">
                  <a16:creationId xmlns:a16="http://schemas.microsoft.com/office/drawing/2014/main" id="{00000000-0008-0000-0600-000017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34168" name="Option Button 24" hidden="1">
              <a:extLst>
                <a:ext uri="{63B3BB69-23CF-44E3-9099-C40C66FF867C}">
                  <a14:compatExt spid="_x0000_s134168"/>
                </a:ext>
                <a:ext uri="{FF2B5EF4-FFF2-40B4-BE49-F238E27FC236}">
                  <a16:creationId xmlns:a16="http://schemas.microsoft.com/office/drawing/2014/main" id="{00000000-0008-0000-0600-000018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34169" name="Option Button 25" hidden="1">
              <a:extLst>
                <a:ext uri="{63B3BB69-23CF-44E3-9099-C40C66FF867C}">
                  <a14:compatExt spid="_x0000_s134169"/>
                </a:ext>
                <a:ext uri="{FF2B5EF4-FFF2-40B4-BE49-F238E27FC236}">
                  <a16:creationId xmlns:a16="http://schemas.microsoft.com/office/drawing/2014/main" id="{00000000-0008-0000-0600-0000190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35169" name="Group Box 1" hidden="1">
              <a:extLst>
                <a:ext uri="{63B3BB69-23CF-44E3-9099-C40C66FF867C}">
                  <a14:compatExt spid="_x0000_s135169"/>
                </a:ext>
                <a:ext uri="{FF2B5EF4-FFF2-40B4-BE49-F238E27FC236}">
                  <a16:creationId xmlns:a16="http://schemas.microsoft.com/office/drawing/2014/main" id="{00000000-0008-0000-0700-0000011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35170" name="Option Button 2" hidden="1">
              <a:extLst>
                <a:ext uri="{63B3BB69-23CF-44E3-9099-C40C66FF867C}">
                  <a14:compatExt spid="_x0000_s135170"/>
                </a:ext>
                <a:ext uri="{FF2B5EF4-FFF2-40B4-BE49-F238E27FC236}">
                  <a16:creationId xmlns:a16="http://schemas.microsoft.com/office/drawing/2014/main" id="{00000000-0008-0000-0700-000002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35171" name="Option Button 3" hidden="1">
              <a:extLst>
                <a:ext uri="{63B3BB69-23CF-44E3-9099-C40C66FF867C}">
                  <a14:compatExt spid="_x0000_s135171"/>
                </a:ext>
                <a:ext uri="{FF2B5EF4-FFF2-40B4-BE49-F238E27FC236}">
                  <a16:creationId xmlns:a16="http://schemas.microsoft.com/office/drawing/2014/main" id="{00000000-0008-0000-0700-000003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35172" name="Group Box 4" hidden="1">
              <a:extLst>
                <a:ext uri="{63B3BB69-23CF-44E3-9099-C40C66FF867C}">
                  <a14:compatExt spid="_x0000_s135172"/>
                </a:ext>
                <a:ext uri="{FF2B5EF4-FFF2-40B4-BE49-F238E27FC236}">
                  <a16:creationId xmlns:a16="http://schemas.microsoft.com/office/drawing/2014/main" id="{00000000-0008-0000-0700-0000041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35173" name="Option Button 5" hidden="1">
              <a:extLst>
                <a:ext uri="{63B3BB69-23CF-44E3-9099-C40C66FF867C}">
                  <a14:compatExt spid="_x0000_s135173"/>
                </a:ext>
                <a:ext uri="{FF2B5EF4-FFF2-40B4-BE49-F238E27FC236}">
                  <a16:creationId xmlns:a16="http://schemas.microsoft.com/office/drawing/2014/main" id="{00000000-0008-0000-0700-000005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35174" name="Option Button 6" hidden="1">
              <a:extLst>
                <a:ext uri="{63B3BB69-23CF-44E3-9099-C40C66FF867C}">
                  <a14:compatExt spid="_x0000_s135174"/>
                </a:ext>
                <a:ext uri="{FF2B5EF4-FFF2-40B4-BE49-F238E27FC236}">
                  <a16:creationId xmlns:a16="http://schemas.microsoft.com/office/drawing/2014/main" id="{00000000-0008-0000-0700-000006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35175" name="Group Box 7" hidden="1">
              <a:extLst>
                <a:ext uri="{63B3BB69-23CF-44E3-9099-C40C66FF867C}">
                  <a14:compatExt spid="_x0000_s135175"/>
                </a:ext>
                <a:ext uri="{FF2B5EF4-FFF2-40B4-BE49-F238E27FC236}">
                  <a16:creationId xmlns:a16="http://schemas.microsoft.com/office/drawing/2014/main" id="{00000000-0008-0000-0700-0000071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35176" name="Option Button 8" hidden="1">
              <a:extLst>
                <a:ext uri="{63B3BB69-23CF-44E3-9099-C40C66FF867C}">
                  <a14:compatExt spid="_x0000_s135176"/>
                </a:ext>
                <a:ext uri="{FF2B5EF4-FFF2-40B4-BE49-F238E27FC236}">
                  <a16:creationId xmlns:a16="http://schemas.microsoft.com/office/drawing/2014/main" id="{00000000-0008-0000-0700-000008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35177" name="Option Button 9" hidden="1">
              <a:extLst>
                <a:ext uri="{63B3BB69-23CF-44E3-9099-C40C66FF867C}">
                  <a14:compatExt spid="_x0000_s135177"/>
                </a:ext>
                <a:ext uri="{FF2B5EF4-FFF2-40B4-BE49-F238E27FC236}">
                  <a16:creationId xmlns:a16="http://schemas.microsoft.com/office/drawing/2014/main" id="{00000000-0008-0000-0700-000009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35178" name="Group Box 10" hidden="1">
              <a:extLst>
                <a:ext uri="{63B3BB69-23CF-44E3-9099-C40C66FF867C}">
                  <a14:compatExt spid="_x0000_s135178"/>
                </a:ext>
                <a:ext uri="{FF2B5EF4-FFF2-40B4-BE49-F238E27FC236}">
                  <a16:creationId xmlns:a16="http://schemas.microsoft.com/office/drawing/2014/main" id="{00000000-0008-0000-0700-00000A1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35179" name="Option Button 11" hidden="1">
              <a:extLst>
                <a:ext uri="{63B3BB69-23CF-44E3-9099-C40C66FF867C}">
                  <a14:compatExt spid="_x0000_s135179"/>
                </a:ext>
                <a:ext uri="{FF2B5EF4-FFF2-40B4-BE49-F238E27FC236}">
                  <a16:creationId xmlns:a16="http://schemas.microsoft.com/office/drawing/2014/main" id="{00000000-0008-0000-0700-00000B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35180" name="Option Button 12" hidden="1">
              <a:extLst>
                <a:ext uri="{63B3BB69-23CF-44E3-9099-C40C66FF867C}">
                  <a14:compatExt spid="_x0000_s135180"/>
                </a:ext>
                <a:ext uri="{FF2B5EF4-FFF2-40B4-BE49-F238E27FC236}">
                  <a16:creationId xmlns:a16="http://schemas.microsoft.com/office/drawing/2014/main" id="{00000000-0008-0000-0700-00000C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35181" name="Group Box 13" hidden="1">
              <a:extLst>
                <a:ext uri="{63B3BB69-23CF-44E3-9099-C40C66FF867C}">
                  <a14:compatExt spid="_x0000_s135181"/>
                </a:ext>
                <a:ext uri="{FF2B5EF4-FFF2-40B4-BE49-F238E27FC236}">
                  <a16:creationId xmlns:a16="http://schemas.microsoft.com/office/drawing/2014/main" id="{00000000-0008-0000-0700-00000D1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35182" name="Option Button 14" hidden="1">
              <a:extLst>
                <a:ext uri="{63B3BB69-23CF-44E3-9099-C40C66FF867C}">
                  <a14:compatExt spid="_x0000_s135182"/>
                </a:ext>
                <a:ext uri="{FF2B5EF4-FFF2-40B4-BE49-F238E27FC236}">
                  <a16:creationId xmlns:a16="http://schemas.microsoft.com/office/drawing/2014/main" id="{00000000-0008-0000-0700-00000E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35183" name="Option Button 15" hidden="1">
              <a:extLst>
                <a:ext uri="{63B3BB69-23CF-44E3-9099-C40C66FF867C}">
                  <a14:compatExt spid="_x0000_s135183"/>
                </a:ext>
                <a:ext uri="{FF2B5EF4-FFF2-40B4-BE49-F238E27FC236}">
                  <a16:creationId xmlns:a16="http://schemas.microsoft.com/office/drawing/2014/main" id="{00000000-0008-0000-0700-00000F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35184" name="Check Box 16" hidden="1">
              <a:extLst>
                <a:ext uri="{63B3BB69-23CF-44E3-9099-C40C66FF867C}">
                  <a14:compatExt spid="_x0000_s135184"/>
                </a:ext>
                <a:ext uri="{FF2B5EF4-FFF2-40B4-BE49-F238E27FC236}">
                  <a16:creationId xmlns:a16="http://schemas.microsoft.com/office/drawing/2014/main" id="{00000000-0008-0000-0700-000010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35185" name="Group Box 17" hidden="1">
              <a:extLst>
                <a:ext uri="{63B3BB69-23CF-44E3-9099-C40C66FF867C}">
                  <a14:compatExt spid="_x0000_s135185"/>
                </a:ext>
                <a:ext uri="{FF2B5EF4-FFF2-40B4-BE49-F238E27FC236}">
                  <a16:creationId xmlns:a16="http://schemas.microsoft.com/office/drawing/2014/main" id="{00000000-0008-0000-0700-0000111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35186" name="Option Button 18" hidden="1">
              <a:extLst>
                <a:ext uri="{63B3BB69-23CF-44E3-9099-C40C66FF867C}">
                  <a14:compatExt spid="_x0000_s135186"/>
                </a:ext>
                <a:ext uri="{FF2B5EF4-FFF2-40B4-BE49-F238E27FC236}">
                  <a16:creationId xmlns:a16="http://schemas.microsoft.com/office/drawing/2014/main" id="{00000000-0008-0000-0700-000012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35187" name="Option Button 19" hidden="1">
              <a:extLst>
                <a:ext uri="{63B3BB69-23CF-44E3-9099-C40C66FF867C}">
                  <a14:compatExt spid="_x0000_s135187"/>
                </a:ext>
                <a:ext uri="{FF2B5EF4-FFF2-40B4-BE49-F238E27FC236}">
                  <a16:creationId xmlns:a16="http://schemas.microsoft.com/office/drawing/2014/main" id="{00000000-0008-0000-0700-000013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35188" name="Group Box 20" hidden="1">
              <a:extLst>
                <a:ext uri="{63B3BB69-23CF-44E3-9099-C40C66FF867C}">
                  <a14:compatExt spid="_x0000_s135188"/>
                </a:ext>
                <a:ext uri="{FF2B5EF4-FFF2-40B4-BE49-F238E27FC236}">
                  <a16:creationId xmlns:a16="http://schemas.microsoft.com/office/drawing/2014/main" id="{00000000-0008-0000-0700-0000141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35189" name="Group Box 21" hidden="1">
              <a:extLst>
                <a:ext uri="{63B3BB69-23CF-44E3-9099-C40C66FF867C}">
                  <a14:compatExt spid="_x0000_s135189"/>
                </a:ext>
                <a:ext uri="{FF2B5EF4-FFF2-40B4-BE49-F238E27FC236}">
                  <a16:creationId xmlns:a16="http://schemas.microsoft.com/office/drawing/2014/main" id="{00000000-0008-0000-0700-0000151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35190" name="Option Button 22" hidden="1">
              <a:extLst>
                <a:ext uri="{63B3BB69-23CF-44E3-9099-C40C66FF867C}">
                  <a14:compatExt spid="_x0000_s135190"/>
                </a:ext>
                <a:ext uri="{FF2B5EF4-FFF2-40B4-BE49-F238E27FC236}">
                  <a16:creationId xmlns:a16="http://schemas.microsoft.com/office/drawing/2014/main" id="{00000000-0008-0000-0700-000016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35191" name="Option Button 23" hidden="1">
              <a:extLst>
                <a:ext uri="{63B3BB69-23CF-44E3-9099-C40C66FF867C}">
                  <a14:compatExt spid="_x0000_s135191"/>
                </a:ext>
                <a:ext uri="{FF2B5EF4-FFF2-40B4-BE49-F238E27FC236}">
                  <a16:creationId xmlns:a16="http://schemas.microsoft.com/office/drawing/2014/main" id="{00000000-0008-0000-0700-000017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35192" name="Option Button 24" hidden="1">
              <a:extLst>
                <a:ext uri="{63B3BB69-23CF-44E3-9099-C40C66FF867C}">
                  <a14:compatExt spid="_x0000_s135192"/>
                </a:ext>
                <a:ext uri="{FF2B5EF4-FFF2-40B4-BE49-F238E27FC236}">
                  <a16:creationId xmlns:a16="http://schemas.microsoft.com/office/drawing/2014/main" id="{00000000-0008-0000-0700-000018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35193" name="Option Button 25" hidden="1">
              <a:extLst>
                <a:ext uri="{63B3BB69-23CF-44E3-9099-C40C66FF867C}">
                  <a14:compatExt spid="_x0000_s135193"/>
                </a:ext>
                <a:ext uri="{FF2B5EF4-FFF2-40B4-BE49-F238E27FC236}">
                  <a16:creationId xmlns:a16="http://schemas.microsoft.com/office/drawing/2014/main" id="{00000000-0008-0000-0700-0000191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36193" name="Group Box 1" hidden="1">
              <a:extLst>
                <a:ext uri="{63B3BB69-23CF-44E3-9099-C40C66FF867C}">
                  <a14:compatExt spid="_x0000_s136193"/>
                </a:ext>
                <a:ext uri="{FF2B5EF4-FFF2-40B4-BE49-F238E27FC236}">
                  <a16:creationId xmlns:a16="http://schemas.microsoft.com/office/drawing/2014/main" id="{00000000-0008-0000-0800-0000011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36194" name="Option Button 2" hidden="1">
              <a:extLst>
                <a:ext uri="{63B3BB69-23CF-44E3-9099-C40C66FF867C}">
                  <a14:compatExt spid="_x0000_s136194"/>
                </a:ext>
                <a:ext uri="{FF2B5EF4-FFF2-40B4-BE49-F238E27FC236}">
                  <a16:creationId xmlns:a16="http://schemas.microsoft.com/office/drawing/2014/main" id="{00000000-0008-0000-0800-000002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36195" name="Option Button 3" hidden="1">
              <a:extLst>
                <a:ext uri="{63B3BB69-23CF-44E3-9099-C40C66FF867C}">
                  <a14:compatExt spid="_x0000_s136195"/>
                </a:ext>
                <a:ext uri="{FF2B5EF4-FFF2-40B4-BE49-F238E27FC236}">
                  <a16:creationId xmlns:a16="http://schemas.microsoft.com/office/drawing/2014/main" id="{00000000-0008-0000-0800-000003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36196" name="Group Box 4" hidden="1">
              <a:extLst>
                <a:ext uri="{63B3BB69-23CF-44E3-9099-C40C66FF867C}">
                  <a14:compatExt spid="_x0000_s136196"/>
                </a:ext>
                <a:ext uri="{FF2B5EF4-FFF2-40B4-BE49-F238E27FC236}">
                  <a16:creationId xmlns:a16="http://schemas.microsoft.com/office/drawing/2014/main" id="{00000000-0008-0000-0800-0000041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36197" name="Option Button 5" hidden="1">
              <a:extLst>
                <a:ext uri="{63B3BB69-23CF-44E3-9099-C40C66FF867C}">
                  <a14:compatExt spid="_x0000_s136197"/>
                </a:ext>
                <a:ext uri="{FF2B5EF4-FFF2-40B4-BE49-F238E27FC236}">
                  <a16:creationId xmlns:a16="http://schemas.microsoft.com/office/drawing/2014/main" id="{00000000-0008-0000-0800-000005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36198" name="Option Button 6" hidden="1">
              <a:extLst>
                <a:ext uri="{63B3BB69-23CF-44E3-9099-C40C66FF867C}">
                  <a14:compatExt spid="_x0000_s136198"/>
                </a:ext>
                <a:ext uri="{FF2B5EF4-FFF2-40B4-BE49-F238E27FC236}">
                  <a16:creationId xmlns:a16="http://schemas.microsoft.com/office/drawing/2014/main" id="{00000000-0008-0000-0800-000006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36199" name="Group Box 7" hidden="1">
              <a:extLst>
                <a:ext uri="{63B3BB69-23CF-44E3-9099-C40C66FF867C}">
                  <a14:compatExt spid="_x0000_s136199"/>
                </a:ext>
                <a:ext uri="{FF2B5EF4-FFF2-40B4-BE49-F238E27FC236}">
                  <a16:creationId xmlns:a16="http://schemas.microsoft.com/office/drawing/2014/main" id="{00000000-0008-0000-0800-0000071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36200" name="Option Button 8" hidden="1">
              <a:extLst>
                <a:ext uri="{63B3BB69-23CF-44E3-9099-C40C66FF867C}">
                  <a14:compatExt spid="_x0000_s136200"/>
                </a:ext>
                <a:ext uri="{FF2B5EF4-FFF2-40B4-BE49-F238E27FC236}">
                  <a16:creationId xmlns:a16="http://schemas.microsoft.com/office/drawing/2014/main" id="{00000000-0008-0000-0800-000008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36201" name="Option Button 9" hidden="1">
              <a:extLst>
                <a:ext uri="{63B3BB69-23CF-44E3-9099-C40C66FF867C}">
                  <a14:compatExt spid="_x0000_s136201"/>
                </a:ext>
                <a:ext uri="{FF2B5EF4-FFF2-40B4-BE49-F238E27FC236}">
                  <a16:creationId xmlns:a16="http://schemas.microsoft.com/office/drawing/2014/main" id="{00000000-0008-0000-0800-000009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36202" name="Group Box 10" hidden="1">
              <a:extLst>
                <a:ext uri="{63B3BB69-23CF-44E3-9099-C40C66FF867C}">
                  <a14:compatExt spid="_x0000_s136202"/>
                </a:ext>
                <a:ext uri="{FF2B5EF4-FFF2-40B4-BE49-F238E27FC236}">
                  <a16:creationId xmlns:a16="http://schemas.microsoft.com/office/drawing/2014/main" id="{00000000-0008-0000-0800-00000A1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36203" name="Option Button 11" hidden="1">
              <a:extLst>
                <a:ext uri="{63B3BB69-23CF-44E3-9099-C40C66FF867C}">
                  <a14:compatExt spid="_x0000_s136203"/>
                </a:ext>
                <a:ext uri="{FF2B5EF4-FFF2-40B4-BE49-F238E27FC236}">
                  <a16:creationId xmlns:a16="http://schemas.microsoft.com/office/drawing/2014/main" id="{00000000-0008-0000-0800-00000B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36204" name="Option Button 12" hidden="1">
              <a:extLst>
                <a:ext uri="{63B3BB69-23CF-44E3-9099-C40C66FF867C}">
                  <a14:compatExt spid="_x0000_s136204"/>
                </a:ext>
                <a:ext uri="{FF2B5EF4-FFF2-40B4-BE49-F238E27FC236}">
                  <a16:creationId xmlns:a16="http://schemas.microsoft.com/office/drawing/2014/main" id="{00000000-0008-0000-0800-00000C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36205" name="Group Box 13" hidden="1">
              <a:extLst>
                <a:ext uri="{63B3BB69-23CF-44E3-9099-C40C66FF867C}">
                  <a14:compatExt spid="_x0000_s136205"/>
                </a:ext>
                <a:ext uri="{FF2B5EF4-FFF2-40B4-BE49-F238E27FC236}">
                  <a16:creationId xmlns:a16="http://schemas.microsoft.com/office/drawing/2014/main" id="{00000000-0008-0000-0800-00000D1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36206" name="Option Button 14" hidden="1">
              <a:extLst>
                <a:ext uri="{63B3BB69-23CF-44E3-9099-C40C66FF867C}">
                  <a14:compatExt spid="_x0000_s136206"/>
                </a:ext>
                <a:ext uri="{FF2B5EF4-FFF2-40B4-BE49-F238E27FC236}">
                  <a16:creationId xmlns:a16="http://schemas.microsoft.com/office/drawing/2014/main" id="{00000000-0008-0000-0800-00000E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36207" name="Option Button 15" hidden="1">
              <a:extLst>
                <a:ext uri="{63B3BB69-23CF-44E3-9099-C40C66FF867C}">
                  <a14:compatExt spid="_x0000_s136207"/>
                </a:ext>
                <a:ext uri="{FF2B5EF4-FFF2-40B4-BE49-F238E27FC236}">
                  <a16:creationId xmlns:a16="http://schemas.microsoft.com/office/drawing/2014/main" id="{00000000-0008-0000-0800-00000F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36208" name="Check Box 16" hidden="1">
              <a:extLst>
                <a:ext uri="{63B3BB69-23CF-44E3-9099-C40C66FF867C}">
                  <a14:compatExt spid="_x0000_s136208"/>
                </a:ext>
                <a:ext uri="{FF2B5EF4-FFF2-40B4-BE49-F238E27FC236}">
                  <a16:creationId xmlns:a16="http://schemas.microsoft.com/office/drawing/2014/main" id="{00000000-0008-0000-0800-000010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36209" name="Group Box 17" hidden="1">
              <a:extLst>
                <a:ext uri="{63B3BB69-23CF-44E3-9099-C40C66FF867C}">
                  <a14:compatExt spid="_x0000_s136209"/>
                </a:ext>
                <a:ext uri="{FF2B5EF4-FFF2-40B4-BE49-F238E27FC236}">
                  <a16:creationId xmlns:a16="http://schemas.microsoft.com/office/drawing/2014/main" id="{00000000-0008-0000-0800-0000111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36210" name="Option Button 18" hidden="1">
              <a:extLst>
                <a:ext uri="{63B3BB69-23CF-44E3-9099-C40C66FF867C}">
                  <a14:compatExt spid="_x0000_s136210"/>
                </a:ext>
                <a:ext uri="{FF2B5EF4-FFF2-40B4-BE49-F238E27FC236}">
                  <a16:creationId xmlns:a16="http://schemas.microsoft.com/office/drawing/2014/main" id="{00000000-0008-0000-0800-000012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36211" name="Option Button 19" hidden="1">
              <a:extLst>
                <a:ext uri="{63B3BB69-23CF-44E3-9099-C40C66FF867C}">
                  <a14:compatExt spid="_x0000_s136211"/>
                </a:ext>
                <a:ext uri="{FF2B5EF4-FFF2-40B4-BE49-F238E27FC236}">
                  <a16:creationId xmlns:a16="http://schemas.microsoft.com/office/drawing/2014/main" id="{00000000-0008-0000-0800-000013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36212" name="Group Box 20" hidden="1">
              <a:extLst>
                <a:ext uri="{63B3BB69-23CF-44E3-9099-C40C66FF867C}">
                  <a14:compatExt spid="_x0000_s136212"/>
                </a:ext>
                <a:ext uri="{FF2B5EF4-FFF2-40B4-BE49-F238E27FC236}">
                  <a16:creationId xmlns:a16="http://schemas.microsoft.com/office/drawing/2014/main" id="{00000000-0008-0000-0800-0000141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36213" name="Group Box 21" hidden="1">
              <a:extLst>
                <a:ext uri="{63B3BB69-23CF-44E3-9099-C40C66FF867C}">
                  <a14:compatExt spid="_x0000_s136213"/>
                </a:ext>
                <a:ext uri="{FF2B5EF4-FFF2-40B4-BE49-F238E27FC236}">
                  <a16:creationId xmlns:a16="http://schemas.microsoft.com/office/drawing/2014/main" id="{00000000-0008-0000-0800-0000151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36214" name="Option Button 22" hidden="1">
              <a:extLst>
                <a:ext uri="{63B3BB69-23CF-44E3-9099-C40C66FF867C}">
                  <a14:compatExt spid="_x0000_s136214"/>
                </a:ext>
                <a:ext uri="{FF2B5EF4-FFF2-40B4-BE49-F238E27FC236}">
                  <a16:creationId xmlns:a16="http://schemas.microsoft.com/office/drawing/2014/main" id="{00000000-0008-0000-0800-000016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36215" name="Option Button 23" hidden="1">
              <a:extLst>
                <a:ext uri="{63B3BB69-23CF-44E3-9099-C40C66FF867C}">
                  <a14:compatExt spid="_x0000_s136215"/>
                </a:ext>
                <a:ext uri="{FF2B5EF4-FFF2-40B4-BE49-F238E27FC236}">
                  <a16:creationId xmlns:a16="http://schemas.microsoft.com/office/drawing/2014/main" id="{00000000-0008-0000-0800-000017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36216" name="Option Button 24" hidden="1">
              <a:extLst>
                <a:ext uri="{63B3BB69-23CF-44E3-9099-C40C66FF867C}">
                  <a14:compatExt spid="_x0000_s136216"/>
                </a:ext>
                <a:ext uri="{FF2B5EF4-FFF2-40B4-BE49-F238E27FC236}">
                  <a16:creationId xmlns:a16="http://schemas.microsoft.com/office/drawing/2014/main" id="{00000000-0008-0000-0800-000018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36217" name="Option Button 25" hidden="1">
              <a:extLst>
                <a:ext uri="{63B3BB69-23CF-44E3-9099-C40C66FF867C}">
                  <a14:compatExt spid="_x0000_s136217"/>
                </a:ext>
                <a:ext uri="{FF2B5EF4-FFF2-40B4-BE49-F238E27FC236}">
                  <a16:creationId xmlns:a16="http://schemas.microsoft.com/office/drawing/2014/main" id="{00000000-0008-0000-0800-000019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66</xdr:row>
          <xdr:rowOff>198120</xdr:rowOff>
        </xdr:from>
        <xdr:to>
          <xdr:col>2</xdr:col>
          <xdr:colOff>0</xdr:colOff>
          <xdr:row>68</xdr:row>
          <xdr:rowOff>0</xdr:rowOff>
        </xdr:to>
        <xdr:sp macro="" textlink="">
          <xdr:nvSpPr>
            <xdr:cNvPr id="137217" name="Group Box 1" hidden="1">
              <a:extLst>
                <a:ext uri="{63B3BB69-23CF-44E3-9099-C40C66FF867C}">
                  <a14:compatExt spid="_x0000_s137217"/>
                </a:ext>
                <a:ext uri="{FF2B5EF4-FFF2-40B4-BE49-F238E27FC236}">
                  <a16:creationId xmlns:a16="http://schemas.microsoft.com/office/drawing/2014/main" id="{00000000-0008-0000-0900-0000011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67</xdr:row>
          <xdr:rowOff>15240</xdr:rowOff>
        </xdr:from>
        <xdr:to>
          <xdr:col>1</xdr:col>
          <xdr:colOff>457200</xdr:colOff>
          <xdr:row>68</xdr:row>
          <xdr:rowOff>0</xdr:rowOff>
        </xdr:to>
        <xdr:sp macro="" textlink="">
          <xdr:nvSpPr>
            <xdr:cNvPr id="137218" name="Option Button 2" hidden="1">
              <a:extLst>
                <a:ext uri="{63B3BB69-23CF-44E3-9099-C40C66FF867C}">
                  <a14:compatExt spid="_x0000_s137218"/>
                </a:ext>
                <a:ext uri="{FF2B5EF4-FFF2-40B4-BE49-F238E27FC236}">
                  <a16:creationId xmlns:a16="http://schemas.microsoft.com/office/drawing/2014/main" id="{00000000-0008-0000-0900-000002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67</xdr:row>
          <xdr:rowOff>15240</xdr:rowOff>
        </xdr:from>
        <xdr:to>
          <xdr:col>1</xdr:col>
          <xdr:colOff>807720</xdr:colOff>
          <xdr:row>68</xdr:row>
          <xdr:rowOff>0</xdr:rowOff>
        </xdr:to>
        <xdr:sp macro="" textlink="">
          <xdr:nvSpPr>
            <xdr:cNvPr id="137219" name="Option Button 3" hidden="1">
              <a:extLst>
                <a:ext uri="{63B3BB69-23CF-44E3-9099-C40C66FF867C}">
                  <a14:compatExt spid="_x0000_s137219"/>
                </a:ext>
                <a:ext uri="{FF2B5EF4-FFF2-40B4-BE49-F238E27FC236}">
                  <a16:creationId xmlns:a16="http://schemas.microsoft.com/office/drawing/2014/main" id="{00000000-0008-0000-0900-000003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7620</xdr:rowOff>
        </xdr:from>
        <xdr:to>
          <xdr:col>2</xdr:col>
          <xdr:colOff>0</xdr:colOff>
          <xdr:row>90</xdr:row>
          <xdr:rowOff>0</xdr:rowOff>
        </xdr:to>
        <xdr:sp macro="" textlink="">
          <xdr:nvSpPr>
            <xdr:cNvPr id="137220" name="Group Box 4" hidden="1">
              <a:extLst>
                <a:ext uri="{63B3BB69-23CF-44E3-9099-C40C66FF867C}">
                  <a14:compatExt spid="_x0000_s137220"/>
                </a:ext>
                <a:ext uri="{FF2B5EF4-FFF2-40B4-BE49-F238E27FC236}">
                  <a16:creationId xmlns:a16="http://schemas.microsoft.com/office/drawing/2014/main" id="{00000000-0008-0000-0900-0000041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53340</xdr:rowOff>
        </xdr:from>
        <xdr:to>
          <xdr:col>1</xdr:col>
          <xdr:colOff>449580</xdr:colOff>
          <xdr:row>90</xdr:row>
          <xdr:rowOff>0</xdr:rowOff>
        </xdr:to>
        <xdr:sp macro="" textlink="">
          <xdr:nvSpPr>
            <xdr:cNvPr id="137221" name="Option Button 5" hidden="1">
              <a:extLst>
                <a:ext uri="{63B3BB69-23CF-44E3-9099-C40C66FF867C}">
                  <a14:compatExt spid="_x0000_s137221"/>
                </a:ext>
                <a:ext uri="{FF2B5EF4-FFF2-40B4-BE49-F238E27FC236}">
                  <a16:creationId xmlns:a16="http://schemas.microsoft.com/office/drawing/2014/main" id="{00000000-0008-0000-0900-000005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411480</xdr:colOff>
          <xdr:row>89</xdr:row>
          <xdr:rowOff>53340</xdr:rowOff>
        </xdr:from>
        <xdr:to>
          <xdr:col>1</xdr:col>
          <xdr:colOff>769620</xdr:colOff>
          <xdr:row>90</xdr:row>
          <xdr:rowOff>0</xdr:rowOff>
        </xdr:to>
        <xdr:sp macro="" textlink="">
          <xdr:nvSpPr>
            <xdr:cNvPr id="137222" name="Option Button 6" hidden="1">
              <a:extLst>
                <a:ext uri="{63B3BB69-23CF-44E3-9099-C40C66FF867C}">
                  <a14:compatExt spid="_x0000_s137222"/>
                </a:ext>
                <a:ext uri="{FF2B5EF4-FFF2-40B4-BE49-F238E27FC236}">
                  <a16:creationId xmlns:a16="http://schemas.microsoft.com/office/drawing/2014/main" id="{00000000-0008-0000-0900-000006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0</xdr:rowOff>
        </xdr:to>
        <xdr:sp macro="" textlink="">
          <xdr:nvSpPr>
            <xdr:cNvPr id="137223" name="Group Box 7" hidden="1">
              <a:extLst>
                <a:ext uri="{63B3BB69-23CF-44E3-9099-C40C66FF867C}">
                  <a14:compatExt spid="_x0000_s137223"/>
                </a:ext>
                <a:ext uri="{FF2B5EF4-FFF2-40B4-BE49-F238E27FC236}">
                  <a16:creationId xmlns:a16="http://schemas.microsoft.com/office/drawing/2014/main" id="{00000000-0008-0000-0900-0000071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30480</xdr:rowOff>
        </xdr:from>
        <xdr:to>
          <xdr:col>1</xdr:col>
          <xdr:colOff>579120</xdr:colOff>
          <xdr:row>92</xdr:row>
          <xdr:rowOff>297180</xdr:rowOff>
        </xdr:to>
        <xdr:sp macro="" textlink="">
          <xdr:nvSpPr>
            <xdr:cNvPr id="137224" name="Option Button 8" hidden="1">
              <a:extLst>
                <a:ext uri="{63B3BB69-23CF-44E3-9099-C40C66FF867C}">
                  <a14:compatExt spid="_x0000_s137224"/>
                </a:ext>
                <a:ext uri="{FF2B5EF4-FFF2-40B4-BE49-F238E27FC236}">
                  <a16:creationId xmlns:a16="http://schemas.microsoft.com/office/drawing/2014/main" id="{00000000-0008-0000-0900-000008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Cold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92</xdr:row>
          <xdr:rowOff>190500</xdr:rowOff>
        </xdr:from>
        <xdr:to>
          <xdr:col>1</xdr:col>
          <xdr:colOff>670560</xdr:colOff>
          <xdr:row>93</xdr:row>
          <xdr:rowOff>0</xdr:rowOff>
        </xdr:to>
        <xdr:sp macro="" textlink="">
          <xdr:nvSpPr>
            <xdr:cNvPr id="137225" name="Option Button 9" hidden="1">
              <a:extLst>
                <a:ext uri="{63B3BB69-23CF-44E3-9099-C40C66FF867C}">
                  <a14:compatExt spid="_x0000_s137225"/>
                </a:ext>
                <a:ext uri="{FF2B5EF4-FFF2-40B4-BE49-F238E27FC236}">
                  <a16:creationId xmlns:a16="http://schemas.microsoft.com/office/drawing/2014/main" id="{00000000-0008-0000-0900-000009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Warm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7620</xdr:rowOff>
        </xdr:from>
        <xdr:to>
          <xdr:col>2</xdr:col>
          <xdr:colOff>0</xdr:colOff>
          <xdr:row>103</xdr:row>
          <xdr:rowOff>0</xdr:rowOff>
        </xdr:to>
        <xdr:sp macro="" textlink="">
          <xdr:nvSpPr>
            <xdr:cNvPr id="137226" name="Group Box 10" hidden="1">
              <a:extLst>
                <a:ext uri="{63B3BB69-23CF-44E3-9099-C40C66FF867C}">
                  <a14:compatExt spid="_x0000_s137226"/>
                </a:ext>
                <a:ext uri="{FF2B5EF4-FFF2-40B4-BE49-F238E27FC236}">
                  <a16:creationId xmlns:a16="http://schemas.microsoft.com/office/drawing/2014/main" id="{00000000-0008-0000-0900-00000A1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53340</xdr:rowOff>
        </xdr:from>
        <xdr:to>
          <xdr:col>1</xdr:col>
          <xdr:colOff>457200</xdr:colOff>
          <xdr:row>103</xdr:row>
          <xdr:rowOff>0</xdr:rowOff>
        </xdr:to>
        <xdr:sp macro="" textlink="">
          <xdr:nvSpPr>
            <xdr:cNvPr id="137227" name="Option Button 11" hidden="1">
              <a:extLst>
                <a:ext uri="{63B3BB69-23CF-44E3-9099-C40C66FF867C}">
                  <a14:compatExt spid="_x0000_s137227"/>
                </a:ext>
                <a:ext uri="{FF2B5EF4-FFF2-40B4-BE49-F238E27FC236}">
                  <a16:creationId xmlns:a16="http://schemas.microsoft.com/office/drawing/2014/main" id="{00000000-0008-0000-0900-00000B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396240</xdr:colOff>
          <xdr:row>102</xdr:row>
          <xdr:rowOff>45720</xdr:rowOff>
        </xdr:from>
        <xdr:to>
          <xdr:col>1</xdr:col>
          <xdr:colOff>762000</xdr:colOff>
          <xdr:row>103</xdr:row>
          <xdr:rowOff>0</xdr:rowOff>
        </xdr:to>
        <xdr:sp macro="" textlink="">
          <xdr:nvSpPr>
            <xdr:cNvPr id="137228" name="Option Button 12" hidden="1">
              <a:extLst>
                <a:ext uri="{63B3BB69-23CF-44E3-9099-C40C66FF867C}">
                  <a14:compatExt spid="_x0000_s137228"/>
                </a:ext>
                <a:ext uri="{FF2B5EF4-FFF2-40B4-BE49-F238E27FC236}">
                  <a16:creationId xmlns:a16="http://schemas.microsoft.com/office/drawing/2014/main" id="{00000000-0008-0000-0900-00000C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0</xdr:colOff>
          <xdr:row>115</xdr:row>
          <xdr:rowOff>0</xdr:rowOff>
        </xdr:to>
        <xdr:sp macro="" textlink="">
          <xdr:nvSpPr>
            <xdr:cNvPr id="137229" name="Group Box 13" hidden="1">
              <a:extLst>
                <a:ext uri="{63B3BB69-23CF-44E3-9099-C40C66FF867C}">
                  <a14:compatExt spid="_x0000_s137229"/>
                </a:ext>
                <a:ext uri="{FF2B5EF4-FFF2-40B4-BE49-F238E27FC236}">
                  <a16:creationId xmlns:a16="http://schemas.microsoft.com/office/drawing/2014/main" id="{00000000-0008-0000-0900-00000D1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114</xdr:row>
          <xdr:rowOff>60960</xdr:rowOff>
        </xdr:from>
        <xdr:to>
          <xdr:col>1</xdr:col>
          <xdr:colOff>426720</xdr:colOff>
          <xdr:row>115</xdr:row>
          <xdr:rowOff>0</xdr:rowOff>
        </xdr:to>
        <xdr:sp macro="" textlink="">
          <xdr:nvSpPr>
            <xdr:cNvPr id="137230" name="Option Button 14" hidden="1">
              <a:extLst>
                <a:ext uri="{63B3BB69-23CF-44E3-9099-C40C66FF867C}">
                  <a14:compatExt spid="_x0000_s137230"/>
                </a:ext>
                <a:ext uri="{FF2B5EF4-FFF2-40B4-BE49-F238E27FC236}">
                  <a16:creationId xmlns:a16="http://schemas.microsoft.com/office/drawing/2014/main" id="{00000000-0008-0000-0900-00000E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114</xdr:row>
          <xdr:rowOff>45720</xdr:rowOff>
        </xdr:from>
        <xdr:to>
          <xdr:col>1</xdr:col>
          <xdr:colOff>800100</xdr:colOff>
          <xdr:row>115</xdr:row>
          <xdr:rowOff>0</xdr:rowOff>
        </xdr:to>
        <xdr:sp macro="" textlink="">
          <xdr:nvSpPr>
            <xdr:cNvPr id="137231" name="Option Button 15" hidden="1">
              <a:extLst>
                <a:ext uri="{63B3BB69-23CF-44E3-9099-C40C66FF867C}">
                  <a14:compatExt spid="_x0000_s137231"/>
                </a:ext>
                <a:ext uri="{FF2B5EF4-FFF2-40B4-BE49-F238E27FC236}">
                  <a16:creationId xmlns:a16="http://schemas.microsoft.com/office/drawing/2014/main" id="{00000000-0008-0000-0900-00000F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93</xdr:row>
          <xdr:rowOff>182880</xdr:rowOff>
        </xdr:from>
        <xdr:to>
          <xdr:col>3</xdr:col>
          <xdr:colOff>861060</xdr:colOff>
          <xdr:row>95</xdr:row>
          <xdr:rowOff>7620</xdr:rowOff>
        </xdr:to>
        <xdr:sp macro="" textlink="">
          <xdr:nvSpPr>
            <xdr:cNvPr id="137232" name="Check Box 16" hidden="1">
              <a:extLst>
                <a:ext uri="{63B3BB69-23CF-44E3-9099-C40C66FF867C}">
                  <a14:compatExt spid="_x0000_s137232"/>
                </a:ext>
                <a:ext uri="{FF2B5EF4-FFF2-40B4-BE49-F238E27FC236}">
                  <a16:creationId xmlns:a16="http://schemas.microsoft.com/office/drawing/2014/main" id="{00000000-0008-0000-0900-000010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6</xdr:col>
          <xdr:colOff>0</xdr:colOff>
          <xdr:row>78</xdr:row>
          <xdr:rowOff>0</xdr:rowOff>
        </xdr:to>
        <xdr:sp macro="" textlink="">
          <xdr:nvSpPr>
            <xdr:cNvPr id="137233" name="Group Box 17" hidden="1">
              <a:extLst>
                <a:ext uri="{63B3BB69-23CF-44E3-9099-C40C66FF867C}">
                  <a14:compatExt spid="_x0000_s137233"/>
                </a:ext>
                <a:ext uri="{FF2B5EF4-FFF2-40B4-BE49-F238E27FC236}">
                  <a16:creationId xmlns:a16="http://schemas.microsoft.com/office/drawing/2014/main" id="{00000000-0008-0000-0900-0000111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38100</xdr:rowOff>
        </xdr:from>
        <xdr:to>
          <xdr:col>5</xdr:col>
          <xdr:colOff>403860</xdr:colOff>
          <xdr:row>77</xdr:row>
          <xdr:rowOff>213360</xdr:rowOff>
        </xdr:to>
        <xdr:sp macro="" textlink="">
          <xdr:nvSpPr>
            <xdr:cNvPr id="137234" name="Option Button 18" hidden="1">
              <a:extLst>
                <a:ext uri="{63B3BB69-23CF-44E3-9099-C40C66FF867C}">
                  <a14:compatExt spid="_x0000_s137234"/>
                </a:ext>
                <a:ext uri="{FF2B5EF4-FFF2-40B4-BE49-F238E27FC236}">
                  <a16:creationId xmlns:a16="http://schemas.microsoft.com/office/drawing/2014/main" id="{00000000-0008-0000-0900-000012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77</xdr:row>
          <xdr:rowOff>182880</xdr:rowOff>
        </xdr:from>
        <xdr:to>
          <xdr:col>5</xdr:col>
          <xdr:colOff>845820</xdr:colOff>
          <xdr:row>78</xdr:row>
          <xdr:rowOff>0</xdr:rowOff>
        </xdr:to>
        <xdr:sp macro="" textlink="">
          <xdr:nvSpPr>
            <xdr:cNvPr id="137235" name="Option Button 19" hidden="1">
              <a:extLst>
                <a:ext uri="{63B3BB69-23CF-44E3-9099-C40C66FF867C}">
                  <a14:compatExt spid="_x0000_s137235"/>
                </a:ext>
                <a:ext uri="{FF2B5EF4-FFF2-40B4-BE49-F238E27FC236}">
                  <a16:creationId xmlns:a16="http://schemas.microsoft.com/office/drawing/2014/main" id="{00000000-0008-0000-0900-000013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 (WQv met)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7620</xdr:rowOff>
        </xdr:from>
        <xdr:to>
          <xdr:col>6</xdr:col>
          <xdr:colOff>0</xdr:colOff>
          <xdr:row>75</xdr:row>
          <xdr:rowOff>0</xdr:rowOff>
        </xdr:to>
        <xdr:sp macro="" textlink="">
          <xdr:nvSpPr>
            <xdr:cNvPr id="137236" name="Group Box 20" hidden="1">
              <a:extLst>
                <a:ext uri="{63B3BB69-23CF-44E3-9099-C40C66FF867C}">
                  <a14:compatExt spid="_x0000_s137236"/>
                </a:ext>
                <a:ext uri="{FF2B5EF4-FFF2-40B4-BE49-F238E27FC236}">
                  <a16:creationId xmlns:a16="http://schemas.microsoft.com/office/drawing/2014/main" id="{00000000-0008-0000-0900-0000141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74</xdr:row>
          <xdr:rowOff>205740</xdr:rowOff>
        </xdr:from>
        <xdr:to>
          <xdr:col>6</xdr:col>
          <xdr:colOff>0</xdr:colOff>
          <xdr:row>76</xdr:row>
          <xdr:rowOff>0</xdr:rowOff>
        </xdr:to>
        <xdr:sp macro="" textlink="">
          <xdr:nvSpPr>
            <xdr:cNvPr id="137237" name="Group Box 21" hidden="1">
              <a:extLst>
                <a:ext uri="{63B3BB69-23CF-44E3-9099-C40C66FF867C}">
                  <a14:compatExt spid="_x0000_s137237"/>
                </a:ext>
                <a:ext uri="{FF2B5EF4-FFF2-40B4-BE49-F238E27FC236}">
                  <a16:creationId xmlns:a16="http://schemas.microsoft.com/office/drawing/2014/main" id="{00000000-0008-0000-0900-0000151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75</xdr:row>
          <xdr:rowOff>68580</xdr:rowOff>
        </xdr:from>
        <xdr:to>
          <xdr:col>5</xdr:col>
          <xdr:colOff>381000</xdr:colOff>
          <xdr:row>76</xdr:row>
          <xdr:rowOff>0</xdr:rowOff>
        </xdr:to>
        <xdr:sp macro="" textlink="">
          <xdr:nvSpPr>
            <xdr:cNvPr id="137238" name="Option Button 22" hidden="1">
              <a:extLst>
                <a:ext uri="{63B3BB69-23CF-44E3-9099-C40C66FF867C}">
                  <a14:compatExt spid="_x0000_s137238"/>
                </a:ext>
                <a:ext uri="{FF2B5EF4-FFF2-40B4-BE49-F238E27FC236}">
                  <a16:creationId xmlns:a16="http://schemas.microsoft.com/office/drawing/2014/main" id="{00000000-0008-0000-0900-000016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75</xdr:row>
          <xdr:rowOff>68580</xdr:rowOff>
        </xdr:from>
        <xdr:to>
          <xdr:col>5</xdr:col>
          <xdr:colOff>792480</xdr:colOff>
          <xdr:row>76</xdr:row>
          <xdr:rowOff>0</xdr:rowOff>
        </xdr:to>
        <xdr:sp macro="" textlink="">
          <xdr:nvSpPr>
            <xdr:cNvPr id="137239" name="Option Button 23" hidden="1">
              <a:extLst>
                <a:ext uri="{63B3BB69-23CF-44E3-9099-C40C66FF867C}">
                  <a14:compatExt spid="_x0000_s137239"/>
                </a:ext>
                <a:ext uri="{FF2B5EF4-FFF2-40B4-BE49-F238E27FC236}">
                  <a16:creationId xmlns:a16="http://schemas.microsoft.com/office/drawing/2014/main" id="{00000000-0008-0000-0900-000017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74</xdr:row>
          <xdr:rowOff>15240</xdr:rowOff>
        </xdr:from>
        <xdr:to>
          <xdr:col>5</xdr:col>
          <xdr:colOff>350520</xdr:colOff>
          <xdr:row>75</xdr:row>
          <xdr:rowOff>0</xdr:rowOff>
        </xdr:to>
        <xdr:sp macro="" textlink="">
          <xdr:nvSpPr>
            <xdr:cNvPr id="137240" name="Option Button 24" hidden="1">
              <a:extLst>
                <a:ext uri="{63B3BB69-23CF-44E3-9099-C40C66FF867C}">
                  <a14:compatExt spid="_x0000_s137240"/>
                </a:ext>
                <a:ext uri="{FF2B5EF4-FFF2-40B4-BE49-F238E27FC236}">
                  <a16:creationId xmlns:a16="http://schemas.microsoft.com/office/drawing/2014/main" id="{00000000-0008-0000-0900-000018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74</xdr:row>
          <xdr:rowOff>15240</xdr:rowOff>
        </xdr:from>
        <xdr:to>
          <xdr:col>5</xdr:col>
          <xdr:colOff>777240</xdr:colOff>
          <xdr:row>75</xdr:row>
          <xdr:rowOff>0</xdr:rowOff>
        </xdr:to>
        <xdr:sp macro="" textlink="">
          <xdr:nvSpPr>
            <xdr:cNvPr id="137241" name="Option Button 25" hidden="1">
              <a:extLst>
                <a:ext uri="{63B3BB69-23CF-44E3-9099-C40C66FF867C}">
                  <a14:compatExt spid="_x0000_s137241"/>
                </a:ext>
                <a:ext uri="{FF2B5EF4-FFF2-40B4-BE49-F238E27FC236}">
                  <a16:creationId xmlns:a16="http://schemas.microsoft.com/office/drawing/2014/main" id="{00000000-0008-0000-0900-000019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ec.vermont.gov/watershed/stormwater/permit-information-applications-fees/operational-stormwater-discharge-permit-application-materials" TargetMode="External"/><Relationship Id="rId1" Type="http://schemas.openxmlformats.org/officeDocument/2006/relationships/hyperlink" Target="http://dec.vermont.gov/watershed/stormwater/contact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79.xml"/><Relationship Id="rId13" Type="http://schemas.openxmlformats.org/officeDocument/2006/relationships/ctrlProp" Target="../ctrlProps/ctrlProp184.xml"/><Relationship Id="rId18" Type="http://schemas.openxmlformats.org/officeDocument/2006/relationships/ctrlProp" Target="../ctrlProps/ctrlProp189.xml"/><Relationship Id="rId26" Type="http://schemas.openxmlformats.org/officeDocument/2006/relationships/ctrlProp" Target="../ctrlProps/ctrlProp197.xml"/><Relationship Id="rId3" Type="http://schemas.openxmlformats.org/officeDocument/2006/relationships/drawing" Target="../drawings/drawing9.xml"/><Relationship Id="rId21" Type="http://schemas.openxmlformats.org/officeDocument/2006/relationships/ctrlProp" Target="../ctrlProps/ctrlProp192.xml"/><Relationship Id="rId7" Type="http://schemas.openxmlformats.org/officeDocument/2006/relationships/ctrlProp" Target="../ctrlProps/ctrlProp178.xml"/><Relationship Id="rId12" Type="http://schemas.openxmlformats.org/officeDocument/2006/relationships/ctrlProp" Target="../ctrlProps/ctrlProp183.xml"/><Relationship Id="rId17" Type="http://schemas.openxmlformats.org/officeDocument/2006/relationships/ctrlProp" Target="../ctrlProps/ctrlProp188.xml"/><Relationship Id="rId25" Type="http://schemas.openxmlformats.org/officeDocument/2006/relationships/ctrlProp" Target="../ctrlProps/ctrlProp196.xml"/><Relationship Id="rId2" Type="http://schemas.openxmlformats.org/officeDocument/2006/relationships/printerSettings" Target="../printerSettings/printerSettings10.bin"/><Relationship Id="rId16" Type="http://schemas.openxmlformats.org/officeDocument/2006/relationships/ctrlProp" Target="../ctrlProps/ctrlProp187.xml"/><Relationship Id="rId20" Type="http://schemas.openxmlformats.org/officeDocument/2006/relationships/ctrlProp" Target="../ctrlProps/ctrlProp191.xml"/><Relationship Id="rId29" Type="http://schemas.openxmlformats.org/officeDocument/2006/relationships/ctrlProp" Target="../ctrlProps/ctrlProp200.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177.xml"/><Relationship Id="rId11" Type="http://schemas.openxmlformats.org/officeDocument/2006/relationships/ctrlProp" Target="../ctrlProps/ctrlProp182.xml"/><Relationship Id="rId24" Type="http://schemas.openxmlformats.org/officeDocument/2006/relationships/ctrlProp" Target="../ctrlProps/ctrlProp195.xml"/><Relationship Id="rId5" Type="http://schemas.openxmlformats.org/officeDocument/2006/relationships/ctrlProp" Target="../ctrlProps/ctrlProp176.xml"/><Relationship Id="rId15" Type="http://schemas.openxmlformats.org/officeDocument/2006/relationships/ctrlProp" Target="../ctrlProps/ctrlProp186.xml"/><Relationship Id="rId23" Type="http://schemas.openxmlformats.org/officeDocument/2006/relationships/ctrlProp" Target="../ctrlProps/ctrlProp194.xml"/><Relationship Id="rId28" Type="http://schemas.openxmlformats.org/officeDocument/2006/relationships/ctrlProp" Target="../ctrlProps/ctrlProp199.xml"/><Relationship Id="rId10" Type="http://schemas.openxmlformats.org/officeDocument/2006/relationships/ctrlProp" Target="../ctrlProps/ctrlProp181.xml"/><Relationship Id="rId19" Type="http://schemas.openxmlformats.org/officeDocument/2006/relationships/ctrlProp" Target="../ctrlProps/ctrlProp190.xml"/><Relationship Id="rId4" Type="http://schemas.openxmlformats.org/officeDocument/2006/relationships/vmlDrawing" Target="../drawings/vmlDrawing8.vml"/><Relationship Id="rId9" Type="http://schemas.openxmlformats.org/officeDocument/2006/relationships/ctrlProp" Target="../ctrlProps/ctrlProp180.xml"/><Relationship Id="rId14" Type="http://schemas.openxmlformats.org/officeDocument/2006/relationships/ctrlProp" Target="../ctrlProps/ctrlProp185.xml"/><Relationship Id="rId22" Type="http://schemas.openxmlformats.org/officeDocument/2006/relationships/ctrlProp" Target="../ctrlProps/ctrlProp193.xml"/><Relationship Id="rId27" Type="http://schemas.openxmlformats.org/officeDocument/2006/relationships/ctrlProp" Target="../ctrlProps/ctrlProp198.xml"/><Relationship Id="rId30"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04.xml"/><Relationship Id="rId13" Type="http://schemas.openxmlformats.org/officeDocument/2006/relationships/ctrlProp" Target="../ctrlProps/ctrlProp209.xml"/><Relationship Id="rId18" Type="http://schemas.openxmlformats.org/officeDocument/2006/relationships/ctrlProp" Target="../ctrlProps/ctrlProp214.xml"/><Relationship Id="rId26" Type="http://schemas.openxmlformats.org/officeDocument/2006/relationships/ctrlProp" Target="../ctrlProps/ctrlProp222.xml"/><Relationship Id="rId3" Type="http://schemas.openxmlformats.org/officeDocument/2006/relationships/drawing" Target="../drawings/drawing10.xml"/><Relationship Id="rId21" Type="http://schemas.openxmlformats.org/officeDocument/2006/relationships/ctrlProp" Target="../ctrlProps/ctrlProp217.xml"/><Relationship Id="rId7" Type="http://schemas.openxmlformats.org/officeDocument/2006/relationships/ctrlProp" Target="../ctrlProps/ctrlProp203.xml"/><Relationship Id="rId12" Type="http://schemas.openxmlformats.org/officeDocument/2006/relationships/ctrlProp" Target="../ctrlProps/ctrlProp208.xml"/><Relationship Id="rId17" Type="http://schemas.openxmlformats.org/officeDocument/2006/relationships/ctrlProp" Target="../ctrlProps/ctrlProp213.xml"/><Relationship Id="rId25" Type="http://schemas.openxmlformats.org/officeDocument/2006/relationships/ctrlProp" Target="../ctrlProps/ctrlProp221.xml"/><Relationship Id="rId2" Type="http://schemas.openxmlformats.org/officeDocument/2006/relationships/printerSettings" Target="../printerSettings/printerSettings11.bin"/><Relationship Id="rId16" Type="http://schemas.openxmlformats.org/officeDocument/2006/relationships/ctrlProp" Target="../ctrlProps/ctrlProp212.xml"/><Relationship Id="rId20" Type="http://schemas.openxmlformats.org/officeDocument/2006/relationships/ctrlProp" Target="../ctrlProps/ctrlProp216.xml"/><Relationship Id="rId29" Type="http://schemas.openxmlformats.org/officeDocument/2006/relationships/ctrlProp" Target="../ctrlProps/ctrlProp225.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202.xml"/><Relationship Id="rId11" Type="http://schemas.openxmlformats.org/officeDocument/2006/relationships/ctrlProp" Target="../ctrlProps/ctrlProp207.xml"/><Relationship Id="rId24" Type="http://schemas.openxmlformats.org/officeDocument/2006/relationships/ctrlProp" Target="../ctrlProps/ctrlProp220.xml"/><Relationship Id="rId5" Type="http://schemas.openxmlformats.org/officeDocument/2006/relationships/ctrlProp" Target="../ctrlProps/ctrlProp201.xml"/><Relationship Id="rId15" Type="http://schemas.openxmlformats.org/officeDocument/2006/relationships/ctrlProp" Target="../ctrlProps/ctrlProp211.xml"/><Relationship Id="rId23" Type="http://schemas.openxmlformats.org/officeDocument/2006/relationships/ctrlProp" Target="../ctrlProps/ctrlProp219.xml"/><Relationship Id="rId28" Type="http://schemas.openxmlformats.org/officeDocument/2006/relationships/ctrlProp" Target="../ctrlProps/ctrlProp224.xml"/><Relationship Id="rId10" Type="http://schemas.openxmlformats.org/officeDocument/2006/relationships/ctrlProp" Target="../ctrlProps/ctrlProp206.xml"/><Relationship Id="rId19" Type="http://schemas.openxmlformats.org/officeDocument/2006/relationships/ctrlProp" Target="../ctrlProps/ctrlProp215.xml"/><Relationship Id="rId4" Type="http://schemas.openxmlformats.org/officeDocument/2006/relationships/vmlDrawing" Target="../drawings/vmlDrawing9.vml"/><Relationship Id="rId9" Type="http://schemas.openxmlformats.org/officeDocument/2006/relationships/ctrlProp" Target="../ctrlProps/ctrlProp205.xml"/><Relationship Id="rId14" Type="http://schemas.openxmlformats.org/officeDocument/2006/relationships/ctrlProp" Target="../ctrlProps/ctrlProp210.xml"/><Relationship Id="rId22" Type="http://schemas.openxmlformats.org/officeDocument/2006/relationships/ctrlProp" Target="../ctrlProps/ctrlProp218.xml"/><Relationship Id="rId27" Type="http://schemas.openxmlformats.org/officeDocument/2006/relationships/ctrlProp" Target="../ctrlProps/ctrlProp223.xml"/><Relationship Id="rId30"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2.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3.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drawing" Target="../drawings/drawing3.x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2" Type="http://schemas.openxmlformats.org/officeDocument/2006/relationships/printerSettings" Target="../printerSettings/printerSettings4.bin"/><Relationship Id="rId16" Type="http://schemas.openxmlformats.org/officeDocument/2006/relationships/ctrlProp" Target="../ctrlProps/ctrlProp37.xml"/><Relationship Id="rId20" Type="http://schemas.openxmlformats.org/officeDocument/2006/relationships/ctrlProp" Target="../ctrlProps/ctrlProp41.xml"/><Relationship Id="rId29" Type="http://schemas.openxmlformats.org/officeDocument/2006/relationships/ctrlProp" Target="../ctrlProps/ctrlProp50.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vmlDrawing" Target="../drawings/vmlDrawing2.v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 Id="rId30" Type="http://schemas.openxmlformats.org/officeDocument/2006/relationships/comments" Target="../comments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4.xml"/><Relationship Id="rId13" Type="http://schemas.openxmlformats.org/officeDocument/2006/relationships/ctrlProp" Target="../ctrlProps/ctrlProp59.xml"/><Relationship Id="rId18" Type="http://schemas.openxmlformats.org/officeDocument/2006/relationships/ctrlProp" Target="../ctrlProps/ctrlProp64.xml"/><Relationship Id="rId26" Type="http://schemas.openxmlformats.org/officeDocument/2006/relationships/ctrlProp" Target="../ctrlProps/ctrlProp72.xml"/><Relationship Id="rId3" Type="http://schemas.openxmlformats.org/officeDocument/2006/relationships/drawing" Target="../drawings/drawing4.xml"/><Relationship Id="rId21" Type="http://schemas.openxmlformats.org/officeDocument/2006/relationships/ctrlProp" Target="../ctrlProps/ctrlProp67.xml"/><Relationship Id="rId7" Type="http://schemas.openxmlformats.org/officeDocument/2006/relationships/ctrlProp" Target="../ctrlProps/ctrlProp53.xml"/><Relationship Id="rId12" Type="http://schemas.openxmlformats.org/officeDocument/2006/relationships/ctrlProp" Target="../ctrlProps/ctrlProp58.xml"/><Relationship Id="rId17" Type="http://schemas.openxmlformats.org/officeDocument/2006/relationships/ctrlProp" Target="../ctrlProps/ctrlProp63.xml"/><Relationship Id="rId25" Type="http://schemas.openxmlformats.org/officeDocument/2006/relationships/ctrlProp" Target="../ctrlProps/ctrlProp71.xml"/><Relationship Id="rId2" Type="http://schemas.openxmlformats.org/officeDocument/2006/relationships/printerSettings" Target="../printerSettings/printerSettings5.bin"/><Relationship Id="rId16" Type="http://schemas.openxmlformats.org/officeDocument/2006/relationships/ctrlProp" Target="../ctrlProps/ctrlProp62.xml"/><Relationship Id="rId20" Type="http://schemas.openxmlformats.org/officeDocument/2006/relationships/ctrlProp" Target="../ctrlProps/ctrlProp66.xml"/><Relationship Id="rId29" Type="http://schemas.openxmlformats.org/officeDocument/2006/relationships/ctrlProp" Target="../ctrlProps/ctrlProp75.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52.xml"/><Relationship Id="rId11" Type="http://schemas.openxmlformats.org/officeDocument/2006/relationships/ctrlProp" Target="../ctrlProps/ctrlProp57.xml"/><Relationship Id="rId24" Type="http://schemas.openxmlformats.org/officeDocument/2006/relationships/ctrlProp" Target="../ctrlProps/ctrlProp70.xml"/><Relationship Id="rId5" Type="http://schemas.openxmlformats.org/officeDocument/2006/relationships/ctrlProp" Target="../ctrlProps/ctrlProp51.xml"/><Relationship Id="rId15" Type="http://schemas.openxmlformats.org/officeDocument/2006/relationships/ctrlProp" Target="../ctrlProps/ctrlProp61.xml"/><Relationship Id="rId23" Type="http://schemas.openxmlformats.org/officeDocument/2006/relationships/ctrlProp" Target="../ctrlProps/ctrlProp69.xml"/><Relationship Id="rId28" Type="http://schemas.openxmlformats.org/officeDocument/2006/relationships/ctrlProp" Target="../ctrlProps/ctrlProp74.xml"/><Relationship Id="rId10" Type="http://schemas.openxmlformats.org/officeDocument/2006/relationships/ctrlProp" Target="../ctrlProps/ctrlProp56.xml"/><Relationship Id="rId19" Type="http://schemas.openxmlformats.org/officeDocument/2006/relationships/ctrlProp" Target="../ctrlProps/ctrlProp65.xml"/><Relationship Id="rId4" Type="http://schemas.openxmlformats.org/officeDocument/2006/relationships/vmlDrawing" Target="../drawings/vmlDrawing3.vml"/><Relationship Id="rId9" Type="http://schemas.openxmlformats.org/officeDocument/2006/relationships/ctrlProp" Target="../ctrlProps/ctrlProp55.xml"/><Relationship Id="rId14" Type="http://schemas.openxmlformats.org/officeDocument/2006/relationships/ctrlProp" Target="../ctrlProps/ctrlProp60.xml"/><Relationship Id="rId22" Type="http://schemas.openxmlformats.org/officeDocument/2006/relationships/ctrlProp" Target="../ctrlProps/ctrlProp68.xml"/><Relationship Id="rId27" Type="http://schemas.openxmlformats.org/officeDocument/2006/relationships/ctrlProp" Target="../ctrlProps/ctrlProp73.xml"/><Relationship Id="rId30" Type="http://schemas.openxmlformats.org/officeDocument/2006/relationships/comments" Target="../comments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9.xml"/><Relationship Id="rId13" Type="http://schemas.openxmlformats.org/officeDocument/2006/relationships/ctrlProp" Target="../ctrlProps/ctrlProp84.xml"/><Relationship Id="rId18" Type="http://schemas.openxmlformats.org/officeDocument/2006/relationships/ctrlProp" Target="../ctrlProps/ctrlProp89.xml"/><Relationship Id="rId26" Type="http://schemas.openxmlformats.org/officeDocument/2006/relationships/ctrlProp" Target="../ctrlProps/ctrlProp97.xml"/><Relationship Id="rId3" Type="http://schemas.openxmlformats.org/officeDocument/2006/relationships/drawing" Target="../drawings/drawing5.xml"/><Relationship Id="rId21" Type="http://schemas.openxmlformats.org/officeDocument/2006/relationships/ctrlProp" Target="../ctrlProps/ctrlProp92.xml"/><Relationship Id="rId7" Type="http://schemas.openxmlformats.org/officeDocument/2006/relationships/ctrlProp" Target="../ctrlProps/ctrlProp78.xml"/><Relationship Id="rId12" Type="http://schemas.openxmlformats.org/officeDocument/2006/relationships/ctrlProp" Target="../ctrlProps/ctrlProp83.xml"/><Relationship Id="rId17" Type="http://schemas.openxmlformats.org/officeDocument/2006/relationships/ctrlProp" Target="../ctrlProps/ctrlProp88.xml"/><Relationship Id="rId25" Type="http://schemas.openxmlformats.org/officeDocument/2006/relationships/ctrlProp" Target="../ctrlProps/ctrlProp96.xml"/><Relationship Id="rId2" Type="http://schemas.openxmlformats.org/officeDocument/2006/relationships/printerSettings" Target="../printerSettings/printerSettings6.bin"/><Relationship Id="rId16" Type="http://schemas.openxmlformats.org/officeDocument/2006/relationships/ctrlProp" Target="../ctrlProps/ctrlProp87.xml"/><Relationship Id="rId20" Type="http://schemas.openxmlformats.org/officeDocument/2006/relationships/ctrlProp" Target="../ctrlProps/ctrlProp91.xml"/><Relationship Id="rId29" Type="http://schemas.openxmlformats.org/officeDocument/2006/relationships/ctrlProp" Target="../ctrlProps/ctrlProp100.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77.xml"/><Relationship Id="rId11" Type="http://schemas.openxmlformats.org/officeDocument/2006/relationships/ctrlProp" Target="../ctrlProps/ctrlProp82.xml"/><Relationship Id="rId24" Type="http://schemas.openxmlformats.org/officeDocument/2006/relationships/ctrlProp" Target="../ctrlProps/ctrlProp95.xml"/><Relationship Id="rId5" Type="http://schemas.openxmlformats.org/officeDocument/2006/relationships/ctrlProp" Target="../ctrlProps/ctrlProp76.xml"/><Relationship Id="rId15" Type="http://schemas.openxmlformats.org/officeDocument/2006/relationships/ctrlProp" Target="../ctrlProps/ctrlProp86.xml"/><Relationship Id="rId23" Type="http://schemas.openxmlformats.org/officeDocument/2006/relationships/ctrlProp" Target="../ctrlProps/ctrlProp94.xml"/><Relationship Id="rId28" Type="http://schemas.openxmlformats.org/officeDocument/2006/relationships/ctrlProp" Target="../ctrlProps/ctrlProp99.xml"/><Relationship Id="rId10" Type="http://schemas.openxmlformats.org/officeDocument/2006/relationships/ctrlProp" Target="../ctrlProps/ctrlProp81.xml"/><Relationship Id="rId19" Type="http://schemas.openxmlformats.org/officeDocument/2006/relationships/ctrlProp" Target="../ctrlProps/ctrlProp90.xml"/><Relationship Id="rId4" Type="http://schemas.openxmlformats.org/officeDocument/2006/relationships/vmlDrawing" Target="../drawings/vmlDrawing4.vml"/><Relationship Id="rId9" Type="http://schemas.openxmlformats.org/officeDocument/2006/relationships/ctrlProp" Target="../ctrlProps/ctrlProp80.xml"/><Relationship Id="rId14" Type="http://schemas.openxmlformats.org/officeDocument/2006/relationships/ctrlProp" Target="../ctrlProps/ctrlProp85.xml"/><Relationship Id="rId22" Type="http://schemas.openxmlformats.org/officeDocument/2006/relationships/ctrlProp" Target="../ctrlProps/ctrlProp93.xml"/><Relationship Id="rId27" Type="http://schemas.openxmlformats.org/officeDocument/2006/relationships/ctrlProp" Target="../ctrlProps/ctrlProp98.xml"/><Relationship Id="rId30" Type="http://schemas.openxmlformats.org/officeDocument/2006/relationships/comments" Target="../comments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04.xml"/><Relationship Id="rId13" Type="http://schemas.openxmlformats.org/officeDocument/2006/relationships/ctrlProp" Target="../ctrlProps/ctrlProp109.xml"/><Relationship Id="rId18" Type="http://schemas.openxmlformats.org/officeDocument/2006/relationships/ctrlProp" Target="../ctrlProps/ctrlProp114.xml"/><Relationship Id="rId26" Type="http://schemas.openxmlformats.org/officeDocument/2006/relationships/ctrlProp" Target="../ctrlProps/ctrlProp122.xml"/><Relationship Id="rId3" Type="http://schemas.openxmlformats.org/officeDocument/2006/relationships/drawing" Target="../drawings/drawing6.xml"/><Relationship Id="rId21" Type="http://schemas.openxmlformats.org/officeDocument/2006/relationships/ctrlProp" Target="../ctrlProps/ctrlProp117.xml"/><Relationship Id="rId7" Type="http://schemas.openxmlformats.org/officeDocument/2006/relationships/ctrlProp" Target="../ctrlProps/ctrlProp103.xml"/><Relationship Id="rId12" Type="http://schemas.openxmlformats.org/officeDocument/2006/relationships/ctrlProp" Target="../ctrlProps/ctrlProp108.xml"/><Relationship Id="rId17" Type="http://schemas.openxmlformats.org/officeDocument/2006/relationships/ctrlProp" Target="../ctrlProps/ctrlProp113.xml"/><Relationship Id="rId25" Type="http://schemas.openxmlformats.org/officeDocument/2006/relationships/ctrlProp" Target="../ctrlProps/ctrlProp121.xml"/><Relationship Id="rId2" Type="http://schemas.openxmlformats.org/officeDocument/2006/relationships/printerSettings" Target="../printerSettings/printerSettings7.bin"/><Relationship Id="rId16" Type="http://schemas.openxmlformats.org/officeDocument/2006/relationships/ctrlProp" Target="../ctrlProps/ctrlProp112.xml"/><Relationship Id="rId20" Type="http://schemas.openxmlformats.org/officeDocument/2006/relationships/ctrlProp" Target="../ctrlProps/ctrlProp116.xml"/><Relationship Id="rId29" Type="http://schemas.openxmlformats.org/officeDocument/2006/relationships/ctrlProp" Target="../ctrlProps/ctrlProp125.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102.xml"/><Relationship Id="rId11" Type="http://schemas.openxmlformats.org/officeDocument/2006/relationships/ctrlProp" Target="../ctrlProps/ctrlProp107.xml"/><Relationship Id="rId24" Type="http://schemas.openxmlformats.org/officeDocument/2006/relationships/ctrlProp" Target="../ctrlProps/ctrlProp120.xml"/><Relationship Id="rId5" Type="http://schemas.openxmlformats.org/officeDocument/2006/relationships/ctrlProp" Target="../ctrlProps/ctrlProp101.xml"/><Relationship Id="rId15" Type="http://schemas.openxmlformats.org/officeDocument/2006/relationships/ctrlProp" Target="../ctrlProps/ctrlProp111.xml"/><Relationship Id="rId23" Type="http://schemas.openxmlformats.org/officeDocument/2006/relationships/ctrlProp" Target="../ctrlProps/ctrlProp119.xml"/><Relationship Id="rId28" Type="http://schemas.openxmlformats.org/officeDocument/2006/relationships/ctrlProp" Target="../ctrlProps/ctrlProp124.xml"/><Relationship Id="rId10" Type="http://schemas.openxmlformats.org/officeDocument/2006/relationships/ctrlProp" Target="../ctrlProps/ctrlProp106.xml"/><Relationship Id="rId19" Type="http://schemas.openxmlformats.org/officeDocument/2006/relationships/ctrlProp" Target="../ctrlProps/ctrlProp115.xml"/><Relationship Id="rId4" Type="http://schemas.openxmlformats.org/officeDocument/2006/relationships/vmlDrawing" Target="../drawings/vmlDrawing5.vml"/><Relationship Id="rId9" Type="http://schemas.openxmlformats.org/officeDocument/2006/relationships/ctrlProp" Target="../ctrlProps/ctrlProp105.xml"/><Relationship Id="rId14" Type="http://schemas.openxmlformats.org/officeDocument/2006/relationships/ctrlProp" Target="../ctrlProps/ctrlProp110.xml"/><Relationship Id="rId22" Type="http://schemas.openxmlformats.org/officeDocument/2006/relationships/ctrlProp" Target="../ctrlProps/ctrlProp118.xml"/><Relationship Id="rId27" Type="http://schemas.openxmlformats.org/officeDocument/2006/relationships/ctrlProp" Target="../ctrlProps/ctrlProp123.xml"/><Relationship Id="rId30" Type="http://schemas.openxmlformats.org/officeDocument/2006/relationships/comments" Target="../comments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29.xml"/><Relationship Id="rId13" Type="http://schemas.openxmlformats.org/officeDocument/2006/relationships/ctrlProp" Target="../ctrlProps/ctrlProp134.xml"/><Relationship Id="rId18" Type="http://schemas.openxmlformats.org/officeDocument/2006/relationships/ctrlProp" Target="../ctrlProps/ctrlProp139.xml"/><Relationship Id="rId26" Type="http://schemas.openxmlformats.org/officeDocument/2006/relationships/ctrlProp" Target="../ctrlProps/ctrlProp147.xml"/><Relationship Id="rId3" Type="http://schemas.openxmlformats.org/officeDocument/2006/relationships/drawing" Target="../drawings/drawing7.xml"/><Relationship Id="rId21" Type="http://schemas.openxmlformats.org/officeDocument/2006/relationships/ctrlProp" Target="../ctrlProps/ctrlProp142.xml"/><Relationship Id="rId7" Type="http://schemas.openxmlformats.org/officeDocument/2006/relationships/ctrlProp" Target="../ctrlProps/ctrlProp128.xml"/><Relationship Id="rId12" Type="http://schemas.openxmlformats.org/officeDocument/2006/relationships/ctrlProp" Target="../ctrlProps/ctrlProp133.xml"/><Relationship Id="rId17" Type="http://schemas.openxmlformats.org/officeDocument/2006/relationships/ctrlProp" Target="../ctrlProps/ctrlProp138.xml"/><Relationship Id="rId25" Type="http://schemas.openxmlformats.org/officeDocument/2006/relationships/ctrlProp" Target="../ctrlProps/ctrlProp146.xml"/><Relationship Id="rId2" Type="http://schemas.openxmlformats.org/officeDocument/2006/relationships/printerSettings" Target="../printerSettings/printerSettings8.bin"/><Relationship Id="rId16" Type="http://schemas.openxmlformats.org/officeDocument/2006/relationships/ctrlProp" Target="../ctrlProps/ctrlProp137.xml"/><Relationship Id="rId20" Type="http://schemas.openxmlformats.org/officeDocument/2006/relationships/ctrlProp" Target="../ctrlProps/ctrlProp141.xml"/><Relationship Id="rId29" Type="http://schemas.openxmlformats.org/officeDocument/2006/relationships/ctrlProp" Target="../ctrlProps/ctrlProp150.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127.xml"/><Relationship Id="rId11" Type="http://schemas.openxmlformats.org/officeDocument/2006/relationships/ctrlProp" Target="../ctrlProps/ctrlProp132.xml"/><Relationship Id="rId24" Type="http://schemas.openxmlformats.org/officeDocument/2006/relationships/ctrlProp" Target="../ctrlProps/ctrlProp145.xml"/><Relationship Id="rId5" Type="http://schemas.openxmlformats.org/officeDocument/2006/relationships/ctrlProp" Target="../ctrlProps/ctrlProp126.xml"/><Relationship Id="rId15" Type="http://schemas.openxmlformats.org/officeDocument/2006/relationships/ctrlProp" Target="../ctrlProps/ctrlProp136.xml"/><Relationship Id="rId23" Type="http://schemas.openxmlformats.org/officeDocument/2006/relationships/ctrlProp" Target="../ctrlProps/ctrlProp144.xml"/><Relationship Id="rId28" Type="http://schemas.openxmlformats.org/officeDocument/2006/relationships/ctrlProp" Target="../ctrlProps/ctrlProp149.xml"/><Relationship Id="rId10" Type="http://schemas.openxmlformats.org/officeDocument/2006/relationships/ctrlProp" Target="../ctrlProps/ctrlProp131.xml"/><Relationship Id="rId19" Type="http://schemas.openxmlformats.org/officeDocument/2006/relationships/ctrlProp" Target="../ctrlProps/ctrlProp140.xml"/><Relationship Id="rId4" Type="http://schemas.openxmlformats.org/officeDocument/2006/relationships/vmlDrawing" Target="../drawings/vmlDrawing6.vml"/><Relationship Id="rId9" Type="http://schemas.openxmlformats.org/officeDocument/2006/relationships/ctrlProp" Target="../ctrlProps/ctrlProp130.xml"/><Relationship Id="rId14" Type="http://schemas.openxmlformats.org/officeDocument/2006/relationships/ctrlProp" Target="../ctrlProps/ctrlProp135.xml"/><Relationship Id="rId22" Type="http://schemas.openxmlformats.org/officeDocument/2006/relationships/ctrlProp" Target="../ctrlProps/ctrlProp143.xml"/><Relationship Id="rId27" Type="http://schemas.openxmlformats.org/officeDocument/2006/relationships/ctrlProp" Target="../ctrlProps/ctrlProp148.xml"/><Relationship Id="rId30" Type="http://schemas.openxmlformats.org/officeDocument/2006/relationships/comments" Target="../comments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54.xml"/><Relationship Id="rId13" Type="http://schemas.openxmlformats.org/officeDocument/2006/relationships/ctrlProp" Target="../ctrlProps/ctrlProp159.xml"/><Relationship Id="rId18" Type="http://schemas.openxmlformats.org/officeDocument/2006/relationships/ctrlProp" Target="../ctrlProps/ctrlProp164.xml"/><Relationship Id="rId26" Type="http://schemas.openxmlformats.org/officeDocument/2006/relationships/ctrlProp" Target="../ctrlProps/ctrlProp172.xml"/><Relationship Id="rId3" Type="http://schemas.openxmlformats.org/officeDocument/2006/relationships/drawing" Target="../drawings/drawing8.xml"/><Relationship Id="rId21" Type="http://schemas.openxmlformats.org/officeDocument/2006/relationships/ctrlProp" Target="../ctrlProps/ctrlProp167.xml"/><Relationship Id="rId7" Type="http://schemas.openxmlformats.org/officeDocument/2006/relationships/ctrlProp" Target="../ctrlProps/ctrlProp153.xml"/><Relationship Id="rId12" Type="http://schemas.openxmlformats.org/officeDocument/2006/relationships/ctrlProp" Target="../ctrlProps/ctrlProp158.xml"/><Relationship Id="rId17" Type="http://schemas.openxmlformats.org/officeDocument/2006/relationships/ctrlProp" Target="../ctrlProps/ctrlProp163.xml"/><Relationship Id="rId25" Type="http://schemas.openxmlformats.org/officeDocument/2006/relationships/ctrlProp" Target="../ctrlProps/ctrlProp171.xml"/><Relationship Id="rId2" Type="http://schemas.openxmlformats.org/officeDocument/2006/relationships/printerSettings" Target="../printerSettings/printerSettings9.bin"/><Relationship Id="rId16" Type="http://schemas.openxmlformats.org/officeDocument/2006/relationships/ctrlProp" Target="../ctrlProps/ctrlProp162.xml"/><Relationship Id="rId20" Type="http://schemas.openxmlformats.org/officeDocument/2006/relationships/ctrlProp" Target="../ctrlProps/ctrlProp166.xml"/><Relationship Id="rId29" Type="http://schemas.openxmlformats.org/officeDocument/2006/relationships/ctrlProp" Target="../ctrlProps/ctrlProp175.xml"/><Relationship Id="rId1" Type="http://schemas.openxmlformats.org/officeDocument/2006/relationships/hyperlink" Target="http://hdsc.nws.noaa.gov/hdsc/pfds/pfds_map_cont.html?bkmrk=vt" TargetMode="External"/><Relationship Id="rId6" Type="http://schemas.openxmlformats.org/officeDocument/2006/relationships/ctrlProp" Target="../ctrlProps/ctrlProp152.xml"/><Relationship Id="rId11" Type="http://schemas.openxmlformats.org/officeDocument/2006/relationships/ctrlProp" Target="../ctrlProps/ctrlProp157.xml"/><Relationship Id="rId24" Type="http://schemas.openxmlformats.org/officeDocument/2006/relationships/ctrlProp" Target="../ctrlProps/ctrlProp170.xml"/><Relationship Id="rId5" Type="http://schemas.openxmlformats.org/officeDocument/2006/relationships/ctrlProp" Target="../ctrlProps/ctrlProp151.xml"/><Relationship Id="rId15" Type="http://schemas.openxmlformats.org/officeDocument/2006/relationships/ctrlProp" Target="../ctrlProps/ctrlProp161.xml"/><Relationship Id="rId23" Type="http://schemas.openxmlformats.org/officeDocument/2006/relationships/ctrlProp" Target="../ctrlProps/ctrlProp169.xml"/><Relationship Id="rId28" Type="http://schemas.openxmlformats.org/officeDocument/2006/relationships/ctrlProp" Target="../ctrlProps/ctrlProp174.xml"/><Relationship Id="rId10" Type="http://schemas.openxmlformats.org/officeDocument/2006/relationships/ctrlProp" Target="../ctrlProps/ctrlProp156.xml"/><Relationship Id="rId19" Type="http://schemas.openxmlformats.org/officeDocument/2006/relationships/ctrlProp" Target="../ctrlProps/ctrlProp165.xml"/><Relationship Id="rId4" Type="http://schemas.openxmlformats.org/officeDocument/2006/relationships/vmlDrawing" Target="../drawings/vmlDrawing7.vml"/><Relationship Id="rId9" Type="http://schemas.openxmlformats.org/officeDocument/2006/relationships/ctrlProp" Target="../ctrlProps/ctrlProp155.xml"/><Relationship Id="rId14" Type="http://schemas.openxmlformats.org/officeDocument/2006/relationships/ctrlProp" Target="../ctrlProps/ctrlProp160.xml"/><Relationship Id="rId22" Type="http://schemas.openxmlformats.org/officeDocument/2006/relationships/ctrlProp" Target="../ctrlProps/ctrlProp168.xml"/><Relationship Id="rId27" Type="http://schemas.openxmlformats.org/officeDocument/2006/relationships/ctrlProp" Target="../ctrlProps/ctrlProp173.xml"/><Relationship Id="rId30"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K27"/>
  <sheetViews>
    <sheetView zoomScaleNormal="100" workbookViewId="0">
      <selection activeCell="N14" sqref="N14"/>
    </sheetView>
  </sheetViews>
  <sheetFormatPr defaultRowHeight="14.4" x14ac:dyDescent="0.3"/>
  <cols>
    <col min="1" max="1" width="11.109375" style="207" customWidth="1"/>
    <col min="2" max="8" width="8.88671875" style="207"/>
    <col min="9" max="9" width="16.109375" style="207" customWidth="1"/>
    <col min="10" max="16384" width="8.88671875" style="207"/>
  </cols>
  <sheetData>
    <row r="1" spans="1:11" ht="15.6" x14ac:dyDescent="0.3">
      <c r="A1" s="206" t="s">
        <v>129</v>
      </c>
    </row>
    <row r="2" spans="1:11" ht="55.8" customHeight="1" x14ac:dyDescent="0.3">
      <c r="A2" s="308" t="s">
        <v>238</v>
      </c>
      <c r="B2" s="309"/>
      <c r="C2" s="309"/>
      <c r="D2" s="309"/>
      <c r="E2" s="309"/>
      <c r="F2" s="309"/>
      <c r="G2" s="309"/>
      <c r="H2" s="309"/>
      <c r="I2" s="309"/>
    </row>
    <row r="3" spans="1:11" ht="16.2" customHeight="1" x14ac:dyDescent="0.3">
      <c r="A3" s="233" t="s">
        <v>239</v>
      </c>
      <c r="B3" s="227"/>
      <c r="C3" s="227"/>
      <c r="D3" s="227"/>
      <c r="E3" s="227"/>
      <c r="F3" s="227"/>
      <c r="G3" s="227"/>
      <c r="H3" s="227"/>
      <c r="I3" s="227"/>
    </row>
    <row r="5" spans="1:11" x14ac:dyDescent="0.3">
      <c r="A5" s="208" t="s">
        <v>173</v>
      </c>
      <c r="B5" s="209"/>
      <c r="C5" s="207" t="s">
        <v>145</v>
      </c>
    </row>
    <row r="6" spans="1:11" x14ac:dyDescent="0.3">
      <c r="A6" s="208" t="s">
        <v>174</v>
      </c>
      <c r="B6" s="210"/>
      <c r="C6" s="207" t="s">
        <v>175</v>
      </c>
    </row>
    <row r="7" spans="1:11" x14ac:dyDescent="0.3">
      <c r="A7" s="208" t="s">
        <v>146</v>
      </c>
      <c r="B7" s="211"/>
      <c r="C7" s="207" t="s">
        <v>178</v>
      </c>
    </row>
    <row r="8" spans="1:11" x14ac:dyDescent="0.3">
      <c r="A8" s="208"/>
      <c r="B8" s="212"/>
    </row>
    <row r="9" spans="1:11" x14ac:dyDescent="0.3">
      <c r="A9" s="312" t="s">
        <v>205</v>
      </c>
      <c r="B9" s="312"/>
      <c r="C9" s="312"/>
      <c r="D9" s="312"/>
      <c r="E9" s="312"/>
      <c r="F9" s="312"/>
      <c r="G9" s="312"/>
      <c r="H9" s="312"/>
      <c r="I9" s="312"/>
    </row>
    <row r="11" spans="1:11" ht="73.8" customHeight="1" x14ac:dyDescent="0.3">
      <c r="A11" s="310" t="s">
        <v>240</v>
      </c>
      <c r="B11" s="311"/>
      <c r="C11" s="311"/>
      <c r="D11" s="311"/>
      <c r="E11" s="311"/>
      <c r="F11" s="311"/>
      <c r="G11" s="311"/>
      <c r="H11" s="311"/>
      <c r="I11" s="311"/>
    </row>
    <row r="13" spans="1:11" ht="59.4" customHeight="1" x14ac:dyDescent="0.3">
      <c r="A13" s="314" t="s">
        <v>241</v>
      </c>
      <c r="B13" s="315"/>
      <c r="C13" s="315"/>
      <c r="D13" s="315"/>
      <c r="E13" s="315"/>
      <c r="F13" s="315"/>
      <c r="G13" s="315"/>
      <c r="H13" s="315"/>
      <c r="I13" s="315"/>
    </row>
    <row r="14" spans="1:11" ht="230.4" customHeight="1" x14ac:dyDescent="0.3">
      <c r="A14" s="232"/>
      <c r="B14" s="228"/>
      <c r="C14" s="228"/>
      <c r="D14" s="228"/>
      <c r="E14" s="228"/>
      <c r="F14" s="228"/>
      <c r="G14" s="228"/>
      <c r="H14" s="228"/>
      <c r="I14" s="228"/>
      <c r="K14" s="142">
        <f ca="1">IFERROR(INDIRECT(K$5&amp;"!F27"),0)</f>
        <v>0</v>
      </c>
    </row>
    <row r="15" spans="1:11" x14ac:dyDescent="0.3">
      <c r="A15" s="232"/>
      <c r="B15" s="228"/>
      <c r="C15" s="228"/>
      <c r="D15" s="228"/>
      <c r="E15" s="228"/>
      <c r="F15" s="228"/>
      <c r="G15" s="228"/>
      <c r="H15" s="228"/>
      <c r="I15" s="228"/>
      <c r="K15" s="142">
        <f ca="1">IFERROR(INDIRECT(K$5&amp;"!F30"),0)</f>
        <v>0</v>
      </c>
    </row>
    <row r="16" spans="1:11" ht="44.4" customHeight="1" x14ac:dyDescent="0.3">
      <c r="A16" s="308" t="s">
        <v>237</v>
      </c>
      <c r="B16" s="308"/>
      <c r="C16" s="308"/>
      <c r="D16" s="308"/>
      <c r="E16" s="308"/>
      <c r="F16" s="308"/>
      <c r="G16" s="308"/>
      <c r="H16" s="308"/>
      <c r="I16" s="308"/>
      <c r="K16" s="142">
        <f ca="1">IFERROR(INDIRECT(K$5&amp;"!F28"),0)</f>
        <v>0</v>
      </c>
    </row>
    <row r="17" spans="1:11" x14ac:dyDescent="0.3">
      <c r="A17" s="231"/>
      <c r="K17" s="142">
        <f ca="1">IFERROR(INDIRECT(K$5&amp;"!F31"),0)</f>
        <v>0</v>
      </c>
    </row>
    <row r="18" spans="1:11" x14ac:dyDescent="0.3">
      <c r="A18" s="312" t="s">
        <v>179</v>
      </c>
      <c r="B18" s="312"/>
      <c r="C18" s="312"/>
      <c r="D18" s="312"/>
      <c r="E18" s="312"/>
      <c r="F18" s="312"/>
      <c r="G18" s="312"/>
      <c r="H18" s="312"/>
      <c r="I18" s="312"/>
      <c r="K18" s="142">
        <f ca="1">IFERROR(INDIRECT(K$5&amp;"!F34"),0)</f>
        <v>0</v>
      </c>
    </row>
    <row r="19" spans="1:11" x14ac:dyDescent="0.3">
      <c r="A19" s="213" t="s">
        <v>180</v>
      </c>
      <c r="K19" s="142">
        <f ca="1">IFERROR(INDIRECT(K$5&amp;"!F32"),0)</f>
        <v>0</v>
      </c>
    </row>
    <row r="20" spans="1:11" x14ac:dyDescent="0.3">
      <c r="A20" s="213"/>
    </row>
    <row r="21" spans="1:11" x14ac:dyDescent="0.3">
      <c r="A21" s="214" t="s">
        <v>186</v>
      </c>
    </row>
    <row r="22" spans="1:11" ht="40.799999999999997" customHeight="1" x14ac:dyDescent="0.3">
      <c r="A22" s="313" t="s">
        <v>199</v>
      </c>
      <c r="B22" s="313"/>
      <c r="C22" s="313"/>
      <c r="D22" s="313"/>
      <c r="E22" s="313"/>
      <c r="F22" s="313"/>
      <c r="G22" s="313"/>
      <c r="H22" s="313"/>
      <c r="I22" s="313"/>
    </row>
    <row r="23" spans="1:11" ht="40.200000000000003" customHeight="1" x14ac:dyDescent="0.3"/>
    <row r="24" spans="1:11" x14ac:dyDescent="0.3">
      <c r="A24" s="215" t="s">
        <v>185</v>
      </c>
    </row>
    <row r="25" spans="1:11" ht="29.4" customHeight="1" x14ac:dyDescent="0.3">
      <c r="A25" s="309" t="s">
        <v>148</v>
      </c>
      <c r="B25" s="309"/>
      <c r="C25" s="309"/>
      <c r="D25" s="309"/>
      <c r="E25" s="309"/>
      <c r="F25" s="309"/>
      <c r="G25" s="309"/>
      <c r="H25" s="309"/>
      <c r="I25" s="309"/>
    </row>
    <row r="27" spans="1:11" ht="27" customHeight="1" x14ac:dyDescent="0.3">
      <c r="A27" s="309" t="s">
        <v>103</v>
      </c>
      <c r="B27" s="309"/>
      <c r="C27" s="309"/>
      <c r="D27" s="309"/>
      <c r="E27" s="309"/>
      <c r="F27" s="309"/>
      <c r="G27" s="309"/>
      <c r="H27" s="309"/>
      <c r="I27" s="309"/>
    </row>
  </sheetData>
  <mergeCells count="9">
    <mergeCell ref="A2:I2"/>
    <mergeCell ref="A11:I11"/>
    <mergeCell ref="A18:I18"/>
    <mergeCell ref="A25:I25"/>
    <mergeCell ref="A27:I27"/>
    <mergeCell ref="A22:I22"/>
    <mergeCell ref="A9:I9"/>
    <mergeCell ref="A13:I13"/>
    <mergeCell ref="A16:I16"/>
  </mergeCells>
  <conditionalFormatting sqref="K14:K19">
    <cfRule type="expression" dxfId="428" priority="2">
      <formula>K$11&gt;0</formula>
    </cfRule>
  </conditionalFormatting>
  <conditionalFormatting sqref="K14:K19">
    <cfRule type="expression" dxfId="427" priority="1">
      <formula>K$11=0</formula>
    </cfRule>
    <cfRule type="expression" dxfId="426" priority="3">
      <formula>K$11&gt;0</formula>
    </cfRule>
  </conditionalFormatting>
  <hyperlinks>
    <hyperlink ref="A19" r:id="rId1" xr:uid="{00000000-0004-0000-0000-000000000000}"/>
    <hyperlink ref="A3" r:id="rId2" xr:uid="{B880CE12-44CD-4001-B021-92551AFE74B9}"/>
  </hyperlinks>
  <pageMargins left="0.6" right="0.7" top="0.75" bottom="0.75" header="0.3" footer="0.3"/>
  <pageSetup orientation="portrait" r:id="rId3"/>
  <headerFooter>
    <oddHeader>&amp;C&amp;"-,Bold"&amp;14Vermont Operational Stormwater Permit - Standards Compliance Workbook</oddHeader>
    <oddFooter>&amp;LLast Updated 6/1/2017</oddFooter>
  </headerFooter>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9E2F3-A50E-4222-890E-C92E039985E1}">
  <dimension ref="A1:O125"/>
  <sheetViews>
    <sheetView view="pageLayout" zoomScaleNormal="100" workbookViewId="0">
      <selection activeCell="B79" sqref="B79"/>
    </sheetView>
  </sheetViews>
  <sheetFormatPr defaultRowHeight="14.4" x14ac:dyDescent="0.3"/>
  <cols>
    <col min="1" max="1" width="21.88671875" style="181" customWidth="1"/>
    <col min="2" max="6" width="12.21875" style="181" customWidth="1"/>
    <col min="7" max="7" width="7.21875" style="181" customWidth="1"/>
    <col min="8" max="8" width="8.88671875" style="181"/>
    <col min="9" max="9" width="8.6640625" style="181" customWidth="1"/>
    <col min="10" max="16384" width="8.88671875" style="181"/>
  </cols>
  <sheetData>
    <row r="1" spans="1:15" ht="18" x14ac:dyDescent="0.35">
      <c r="A1" s="96" t="s">
        <v>32</v>
      </c>
      <c r="B1" s="97"/>
      <c r="C1" s="97"/>
      <c r="D1" s="97"/>
      <c r="E1" s="97"/>
      <c r="F1" s="97"/>
      <c r="G1" s="98"/>
      <c r="H1" s="32"/>
      <c r="I1" s="21"/>
      <c r="J1" s="21"/>
    </row>
    <row r="2" spans="1:15" x14ac:dyDescent="0.3">
      <c r="A2" s="14"/>
      <c r="B2" s="13"/>
      <c r="C2" s="45" t="s">
        <v>29</v>
      </c>
      <c r="D2" s="411" t="str">
        <f>IF(Summary!C1="","",Summary!C1)</f>
        <v>East Street Industrial Park</v>
      </c>
      <c r="E2" s="411"/>
      <c r="F2" s="411"/>
      <c r="G2" s="99"/>
      <c r="H2" s="22"/>
      <c r="I2" s="22"/>
      <c r="J2" s="22"/>
    </row>
    <row r="3" spans="1:15" x14ac:dyDescent="0.3">
      <c r="A3" s="14"/>
      <c r="B3" s="13"/>
      <c r="C3" s="45" t="s">
        <v>30</v>
      </c>
      <c r="D3" s="427"/>
      <c r="E3" s="428"/>
      <c r="F3" s="429"/>
      <c r="G3" s="99"/>
      <c r="H3" s="22"/>
      <c r="I3" s="22"/>
      <c r="J3" s="22"/>
    </row>
    <row r="4" spans="1:15" x14ac:dyDescent="0.3">
      <c r="A4" s="14"/>
      <c r="B4" s="13"/>
      <c r="C4" s="45" t="s">
        <v>31</v>
      </c>
      <c r="D4" s="415"/>
      <c r="E4" s="416"/>
      <c r="F4" s="417"/>
      <c r="G4" s="99"/>
      <c r="H4" s="22"/>
      <c r="I4" s="22"/>
      <c r="J4" s="22"/>
    </row>
    <row r="5" spans="1:15" x14ac:dyDescent="0.3">
      <c r="A5" s="14"/>
      <c r="B5" s="13"/>
      <c r="C5" s="45" t="s">
        <v>172</v>
      </c>
      <c r="D5" s="430"/>
      <c r="E5" s="430"/>
      <c r="F5" s="430"/>
      <c r="G5" s="99"/>
      <c r="H5" s="22"/>
      <c r="I5" s="22"/>
      <c r="J5" s="22"/>
    </row>
    <row r="6" spans="1:15" ht="15.6" customHeight="1" x14ac:dyDescent="0.3">
      <c r="A6" s="14"/>
      <c r="B6" s="13"/>
      <c r="C6" s="46" t="s">
        <v>177</v>
      </c>
      <c r="D6" s="431"/>
      <c r="E6" s="432"/>
      <c r="F6" s="433"/>
      <c r="G6" s="99"/>
      <c r="H6" s="22"/>
      <c r="I6" s="22"/>
      <c r="J6" s="22"/>
    </row>
    <row r="7" spans="1:15" ht="9.6" customHeight="1" x14ac:dyDescent="0.3">
      <c r="A7" s="14"/>
      <c r="B7" s="13"/>
      <c r="C7" s="13"/>
      <c r="D7" s="13"/>
      <c r="E7" s="13"/>
      <c r="F7" s="15"/>
      <c r="G7" s="99"/>
      <c r="H7" s="22"/>
      <c r="I7" s="22"/>
      <c r="J7" s="22"/>
    </row>
    <row r="8" spans="1:15" ht="18" x14ac:dyDescent="0.35">
      <c r="A8" s="91" t="s">
        <v>53</v>
      </c>
      <c r="B8" s="434" t="s">
        <v>40</v>
      </c>
      <c r="C8" s="434"/>
      <c r="D8" s="434"/>
      <c r="E8" s="76" t="s">
        <v>41</v>
      </c>
      <c r="F8" s="13"/>
      <c r="G8" s="60"/>
      <c r="K8" s="23"/>
      <c r="L8" s="13"/>
      <c r="M8" s="13"/>
      <c r="N8" s="13"/>
      <c r="O8" s="13"/>
    </row>
    <row r="9" spans="1:15" x14ac:dyDescent="0.3">
      <c r="A9" s="130" t="s">
        <v>52</v>
      </c>
      <c r="B9" s="131" t="s">
        <v>54</v>
      </c>
      <c r="C9" s="132" t="s">
        <v>55</v>
      </c>
      <c r="D9" s="132" t="s">
        <v>56</v>
      </c>
      <c r="E9" s="132" t="s">
        <v>57</v>
      </c>
      <c r="F9" s="13"/>
      <c r="G9" s="60"/>
      <c r="K9" s="13"/>
      <c r="L9" s="13"/>
      <c r="M9" s="13"/>
      <c r="N9" s="13"/>
    </row>
    <row r="10" spans="1:15" x14ac:dyDescent="0.3">
      <c r="A10" s="61" t="s">
        <v>0</v>
      </c>
      <c r="B10" s="217">
        <v>1</v>
      </c>
      <c r="C10" s="218">
        <v>0</v>
      </c>
      <c r="D10" s="218">
        <v>0</v>
      </c>
      <c r="E10" s="218">
        <v>0</v>
      </c>
      <c r="F10" s="13"/>
      <c r="G10" s="60"/>
      <c r="K10" s="13"/>
      <c r="L10" s="13"/>
      <c r="M10" s="13"/>
      <c r="N10" s="13"/>
    </row>
    <row r="11" spans="1:15" ht="12.6" customHeight="1" thickBot="1" x14ac:dyDescent="0.35">
      <c r="A11" s="100"/>
      <c r="B11" s="101"/>
      <c r="C11" s="102"/>
      <c r="D11" s="102"/>
      <c r="E11" s="102"/>
      <c r="F11" s="102"/>
      <c r="G11" s="70"/>
      <c r="K11" s="13"/>
      <c r="L11" s="6"/>
      <c r="M11" s="13"/>
      <c r="N11" s="13"/>
      <c r="O11" s="13"/>
    </row>
    <row r="12" spans="1:15" ht="15.6" x14ac:dyDescent="0.3">
      <c r="A12" s="77" t="s">
        <v>82</v>
      </c>
      <c r="B12" s="94"/>
      <c r="C12" s="95"/>
      <c r="D12" s="95"/>
      <c r="E12" s="95"/>
      <c r="F12" s="95"/>
      <c r="G12" s="58"/>
      <c r="K12" s="13"/>
      <c r="L12" s="6"/>
      <c r="M12" s="13"/>
      <c r="N12" s="13"/>
      <c r="O12" s="13"/>
    </row>
    <row r="13" spans="1:15" ht="15.6" x14ac:dyDescent="0.3">
      <c r="A13" s="425" t="s">
        <v>58</v>
      </c>
      <c r="B13" s="426"/>
      <c r="C13" s="426"/>
      <c r="D13" s="426"/>
      <c r="E13" s="426"/>
      <c r="F13" s="426"/>
      <c r="G13" s="60"/>
      <c r="K13" s="13"/>
      <c r="L13" s="6"/>
      <c r="M13" s="13"/>
      <c r="N13" s="13"/>
      <c r="O13" s="13"/>
    </row>
    <row r="14" spans="1:15" x14ac:dyDescent="0.3">
      <c r="A14" s="243" t="s">
        <v>8</v>
      </c>
      <c r="B14" s="303" t="s">
        <v>2</v>
      </c>
      <c r="C14" s="303" t="s">
        <v>3</v>
      </c>
      <c r="D14" s="303" t="s">
        <v>4</v>
      </c>
      <c r="E14" s="303" t="s">
        <v>5</v>
      </c>
      <c r="F14" s="297" t="s">
        <v>13</v>
      </c>
      <c r="G14" s="385"/>
      <c r="H14" s="19"/>
      <c r="I14" s="19"/>
      <c r="J14" s="19"/>
      <c r="K14" s="13"/>
      <c r="L14" s="13"/>
      <c r="M14" s="13"/>
      <c r="N14" s="13"/>
      <c r="O14" s="13"/>
    </row>
    <row r="15" spans="1:15" ht="15.6" x14ac:dyDescent="0.3">
      <c r="A15" s="111" t="s">
        <v>6</v>
      </c>
      <c r="B15" s="216">
        <v>0</v>
      </c>
      <c r="C15" s="216">
        <v>0</v>
      </c>
      <c r="D15" s="216">
        <v>0</v>
      </c>
      <c r="E15" s="216">
        <v>0</v>
      </c>
      <c r="F15" s="133">
        <f t="shared" ref="F15:F18" si="0">SUM(B15:E15)</f>
        <v>0</v>
      </c>
      <c r="G15" s="385"/>
      <c r="H15" s="19"/>
      <c r="I15" s="19"/>
      <c r="J15" s="19"/>
      <c r="K15" s="10"/>
      <c r="L15" s="13"/>
      <c r="M15" s="13"/>
      <c r="N15" s="13"/>
      <c r="O15" s="13"/>
    </row>
    <row r="16" spans="1:15" x14ac:dyDescent="0.3">
      <c r="A16" s="111" t="s">
        <v>38</v>
      </c>
      <c r="B16" s="216">
        <v>0</v>
      </c>
      <c r="C16" s="216">
        <v>0</v>
      </c>
      <c r="D16" s="216">
        <v>0</v>
      </c>
      <c r="E16" s="216">
        <v>0</v>
      </c>
      <c r="F16" s="133">
        <f t="shared" si="0"/>
        <v>0</v>
      </c>
      <c r="G16" s="60"/>
      <c r="H16" s="1"/>
      <c r="I16" s="33"/>
      <c r="J16" s="33"/>
      <c r="K16" s="13"/>
      <c r="L16" s="22"/>
      <c r="M16" s="13"/>
      <c r="N16" s="13"/>
      <c r="O16" s="13"/>
    </row>
    <row r="17" spans="1:15" x14ac:dyDescent="0.3">
      <c r="A17" s="111" t="s">
        <v>7</v>
      </c>
      <c r="B17" s="216">
        <v>0</v>
      </c>
      <c r="C17" s="216">
        <v>0</v>
      </c>
      <c r="D17" s="216">
        <v>0</v>
      </c>
      <c r="E17" s="216">
        <v>0</v>
      </c>
      <c r="F17" s="133">
        <f t="shared" si="0"/>
        <v>0</v>
      </c>
      <c r="G17" s="60"/>
      <c r="H17" s="1"/>
      <c r="I17" s="33"/>
      <c r="J17" s="33"/>
      <c r="K17" s="13"/>
      <c r="L17" s="22"/>
      <c r="M17" s="13"/>
      <c r="N17" s="13"/>
      <c r="O17" s="13"/>
    </row>
    <row r="18" spans="1:15" x14ac:dyDescent="0.3">
      <c r="A18" s="224" t="s">
        <v>251</v>
      </c>
      <c r="B18" s="216">
        <v>0</v>
      </c>
      <c r="C18" s="216">
        <v>0</v>
      </c>
      <c r="D18" s="216">
        <v>0</v>
      </c>
      <c r="E18" s="216">
        <v>0</v>
      </c>
      <c r="F18" s="133">
        <f t="shared" si="0"/>
        <v>0</v>
      </c>
      <c r="G18" s="60"/>
      <c r="H18" s="19"/>
      <c r="I18" s="19"/>
      <c r="J18" s="34"/>
      <c r="K18" s="13"/>
      <c r="L18" s="22"/>
      <c r="M18" s="13"/>
      <c r="N18" s="13"/>
      <c r="O18" s="13"/>
    </row>
    <row r="19" spans="1:15" ht="13.8" customHeight="1" x14ac:dyDescent="0.3">
      <c r="A19" s="68"/>
      <c r="B19" s="255"/>
      <c r="C19" s="255"/>
      <c r="D19" s="271"/>
      <c r="E19" s="261" t="s">
        <v>249</v>
      </c>
      <c r="F19" s="274">
        <v>0</v>
      </c>
      <c r="G19" s="60"/>
      <c r="H19" s="19"/>
      <c r="I19" s="19"/>
      <c r="J19" s="34"/>
      <c r="K19" s="13"/>
      <c r="L19" s="6"/>
      <c r="M19" s="13"/>
      <c r="N19" s="13"/>
      <c r="O19" s="13"/>
    </row>
    <row r="20" spans="1:15" ht="13.8" customHeight="1" x14ac:dyDescent="0.3">
      <c r="A20" s="68"/>
      <c r="B20" s="255"/>
      <c r="C20" s="255"/>
      <c r="D20" s="255"/>
      <c r="E20" s="261" t="s">
        <v>250</v>
      </c>
      <c r="F20" s="272">
        <f>SUM(F15:F19)</f>
        <v>0</v>
      </c>
      <c r="G20" s="60"/>
      <c r="H20" s="19"/>
      <c r="I20" s="19"/>
      <c r="J20" s="34"/>
      <c r="K20" s="13"/>
      <c r="L20" s="6"/>
      <c r="M20" s="13"/>
      <c r="N20" s="13"/>
      <c r="O20" s="13"/>
    </row>
    <row r="21" spans="1:15" ht="28.2" customHeight="1" x14ac:dyDescent="0.3">
      <c r="A21" s="353" t="str">
        <f>IF(F18=0,IF(F28+F29+F30&gt;0,"Existing and/or redeveloped impervious has been defined in post development. User must define existing impervious in pre development.",""),"")</f>
        <v/>
      </c>
      <c r="B21" s="354"/>
      <c r="C21" s="354"/>
      <c r="D21" s="354"/>
      <c r="E21" s="354"/>
      <c r="F21" s="354"/>
      <c r="G21" s="355"/>
      <c r="H21" s="19"/>
      <c r="I21" s="19"/>
      <c r="J21" s="34"/>
      <c r="K21" s="13"/>
      <c r="L21" s="6"/>
      <c r="M21" s="13"/>
      <c r="N21" s="13"/>
      <c r="O21" s="13"/>
    </row>
    <row r="22" spans="1:15" ht="15.6" x14ac:dyDescent="0.3">
      <c r="A22" s="397" t="s">
        <v>123</v>
      </c>
      <c r="B22" s="398"/>
      <c r="C22" s="398"/>
      <c r="D22" s="398"/>
      <c r="E22" s="398"/>
      <c r="F22" s="398"/>
      <c r="G22" s="262" t="s">
        <v>246</v>
      </c>
      <c r="H22" s="19"/>
      <c r="I22" s="19"/>
      <c r="J22" s="34"/>
      <c r="K22" s="13"/>
      <c r="L22" s="6"/>
      <c r="M22" s="13"/>
      <c r="N22" s="13"/>
      <c r="O22" s="13"/>
    </row>
    <row r="23" spans="1:15" ht="13.8" customHeight="1" x14ac:dyDescent="0.3">
      <c r="A23" s="243" t="s">
        <v>8</v>
      </c>
      <c r="B23" s="303" t="s">
        <v>2</v>
      </c>
      <c r="C23" s="303" t="s">
        <v>3</v>
      </c>
      <c r="D23" s="303" t="s">
        <v>4</v>
      </c>
      <c r="E23" s="303" t="s">
        <v>5</v>
      </c>
      <c r="F23" s="297" t="s">
        <v>13</v>
      </c>
      <c r="G23" s="60"/>
      <c r="L23" s="6"/>
      <c r="M23" s="13"/>
      <c r="N23" s="13"/>
      <c r="O23" s="13"/>
    </row>
    <row r="24" spans="1:15" x14ac:dyDescent="0.3">
      <c r="A24" s="111" t="s">
        <v>6</v>
      </c>
      <c r="B24" s="216">
        <v>0</v>
      </c>
      <c r="C24" s="216">
        <v>0</v>
      </c>
      <c r="D24" s="216">
        <v>0</v>
      </c>
      <c r="E24" s="216">
        <v>0</v>
      </c>
      <c r="F24" s="133">
        <f>SUM(B24:E24)</f>
        <v>0</v>
      </c>
      <c r="G24" s="60"/>
      <c r="L24" s="13"/>
      <c r="M24" s="13"/>
      <c r="N24" s="13"/>
      <c r="O24" s="13"/>
    </row>
    <row r="25" spans="1:15" x14ac:dyDescent="0.3">
      <c r="A25" s="111" t="s">
        <v>38</v>
      </c>
      <c r="B25" s="216">
        <v>0</v>
      </c>
      <c r="C25" s="216">
        <v>0</v>
      </c>
      <c r="D25" s="216">
        <v>0</v>
      </c>
      <c r="E25" s="216">
        <v>0</v>
      </c>
      <c r="F25" s="133">
        <f>SUM(B25:E25)</f>
        <v>0</v>
      </c>
      <c r="G25" s="60"/>
      <c r="L25" s="13"/>
      <c r="M25" s="13"/>
      <c r="N25" s="13"/>
      <c r="O25" s="13"/>
    </row>
    <row r="26" spans="1:15" x14ac:dyDescent="0.3">
      <c r="A26" s="111" t="s">
        <v>7</v>
      </c>
      <c r="B26" s="216">
        <v>0</v>
      </c>
      <c r="C26" s="216">
        <v>0</v>
      </c>
      <c r="D26" s="216">
        <v>0</v>
      </c>
      <c r="E26" s="216">
        <v>0</v>
      </c>
      <c r="F26" s="133">
        <f>SUM(B26:E26)</f>
        <v>0</v>
      </c>
      <c r="G26" s="60"/>
      <c r="L26" s="6"/>
      <c r="M26" s="13"/>
      <c r="N26" s="13"/>
      <c r="O26" s="13"/>
    </row>
    <row r="27" spans="1:15" x14ac:dyDescent="0.3">
      <c r="A27" s="244" t="s">
        <v>243</v>
      </c>
      <c r="B27" s="256">
        <v>0</v>
      </c>
      <c r="C27" s="256">
        <v>0</v>
      </c>
      <c r="D27" s="256">
        <v>0</v>
      </c>
      <c r="E27" s="256">
        <v>0</v>
      </c>
      <c r="F27" s="257">
        <f>SUM(B27:E27)</f>
        <v>0</v>
      </c>
      <c r="G27" s="263">
        <f>IF(F32=0,0,F27/$F$32)</f>
        <v>0</v>
      </c>
      <c r="L27" s="6"/>
      <c r="M27" s="13"/>
      <c r="N27" s="13"/>
      <c r="O27" s="13"/>
    </row>
    <row r="28" spans="1:15" ht="43.2" x14ac:dyDescent="0.3">
      <c r="A28" s="254" t="s">
        <v>244</v>
      </c>
      <c r="B28" s="253">
        <v>0</v>
      </c>
      <c r="C28" s="253">
        <v>0</v>
      </c>
      <c r="D28" s="253">
        <v>0</v>
      </c>
      <c r="E28" s="253">
        <v>0</v>
      </c>
      <c r="F28" s="234">
        <f>SUM(B28:E28)</f>
        <v>0</v>
      </c>
      <c r="G28" s="264">
        <f>IF(F32=0,0,F28/$F$32)</f>
        <v>0</v>
      </c>
      <c r="L28" s="6"/>
      <c r="M28" s="13"/>
      <c r="N28" s="13"/>
      <c r="O28" s="13"/>
    </row>
    <row r="29" spans="1:15" x14ac:dyDescent="0.3">
      <c r="A29" s="254"/>
      <c r="B29" s="276"/>
      <c r="C29" s="276"/>
      <c r="D29" s="276"/>
      <c r="E29" s="277" t="s">
        <v>247</v>
      </c>
      <c r="F29" s="275">
        <v>0</v>
      </c>
      <c r="G29" s="263">
        <f>IF(F32=0,0,F29/$F$32)</f>
        <v>0</v>
      </c>
      <c r="L29" s="6"/>
      <c r="M29" s="13"/>
      <c r="N29" s="13"/>
      <c r="O29" s="13"/>
    </row>
    <row r="30" spans="1:15" x14ac:dyDescent="0.3">
      <c r="A30" s="14"/>
      <c r="B30" s="278"/>
      <c r="C30" s="278"/>
      <c r="D30" s="278"/>
      <c r="E30" s="279" t="s">
        <v>39</v>
      </c>
      <c r="F30" s="275">
        <v>0</v>
      </c>
      <c r="G30" s="263">
        <f>IF(F32=0,0,F30/$F$32)</f>
        <v>0</v>
      </c>
      <c r="H30" s="19"/>
      <c r="I30" s="19"/>
      <c r="J30" s="34"/>
      <c r="K30" s="13"/>
      <c r="L30" s="6"/>
      <c r="M30" s="13"/>
      <c r="N30" s="13"/>
      <c r="O30" s="13"/>
    </row>
    <row r="31" spans="1:15" x14ac:dyDescent="0.3">
      <c r="A31" s="14"/>
      <c r="B31" s="356" t="s">
        <v>248</v>
      </c>
      <c r="C31" s="356"/>
      <c r="D31" s="356"/>
      <c r="E31" s="356"/>
      <c r="F31" s="273">
        <f>F19</f>
        <v>0</v>
      </c>
      <c r="G31" s="263">
        <f>IF(F32=0,0,F31/$F$32)</f>
        <v>0</v>
      </c>
      <c r="H31" s="19"/>
      <c r="I31" s="19"/>
      <c r="J31" s="34"/>
      <c r="K31" s="13"/>
      <c r="L31" s="6"/>
      <c r="M31" s="13"/>
      <c r="N31" s="13"/>
      <c r="O31" s="13"/>
    </row>
    <row r="32" spans="1:15" x14ac:dyDescent="0.3">
      <c r="A32" s="14"/>
      <c r="B32" s="278"/>
      <c r="C32" s="278"/>
      <c r="D32" s="280"/>
      <c r="E32" s="281" t="s">
        <v>9</v>
      </c>
      <c r="F32" s="235">
        <f>SUM(F24:F31)</f>
        <v>0</v>
      </c>
      <c r="G32" s="60"/>
      <c r="H32" s="1"/>
      <c r="I32" s="33"/>
      <c r="J32" s="33"/>
      <c r="K32" s="13"/>
      <c r="L32" s="6"/>
      <c r="M32" s="13"/>
      <c r="N32" s="13"/>
      <c r="O32" s="13"/>
    </row>
    <row r="33" spans="1:15" ht="7.2" customHeight="1" x14ac:dyDescent="0.3">
      <c r="A33" s="14"/>
      <c r="B33" s="13"/>
      <c r="C33" s="13"/>
      <c r="D33" s="255"/>
      <c r="E33" s="145"/>
      <c r="F33" s="255"/>
      <c r="G33" s="60"/>
      <c r="H33" s="1"/>
      <c r="I33" s="33"/>
      <c r="J33" s="33"/>
      <c r="K33" s="13"/>
      <c r="L33" s="6"/>
      <c r="M33" s="13"/>
      <c r="N33" s="13"/>
      <c r="O33" s="13"/>
    </row>
    <row r="34" spans="1:15" x14ac:dyDescent="0.3">
      <c r="A34" s="14"/>
      <c r="B34" s="13"/>
      <c r="C34" s="13"/>
      <c r="D34" s="255"/>
      <c r="E34" s="260" t="s">
        <v>220</v>
      </c>
      <c r="F34" s="235">
        <f>F31+F30+F28+F27</f>
        <v>0</v>
      </c>
      <c r="G34" s="60"/>
      <c r="H34" s="1"/>
      <c r="I34" s="33"/>
      <c r="J34" s="33"/>
      <c r="K34" s="13"/>
      <c r="L34" s="6"/>
      <c r="M34" s="13"/>
      <c r="N34" s="13"/>
      <c r="O34" s="13"/>
    </row>
    <row r="35" spans="1:15" x14ac:dyDescent="0.3">
      <c r="A35" s="14"/>
      <c r="B35" s="13"/>
      <c r="C35" s="13"/>
      <c r="D35" s="255"/>
      <c r="E35" s="261" t="s">
        <v>202</v>
      </c>
      <c r="F35" s="259">
        <f>IF(F18-(F27+F28+F30+F29+F31)&lt;0,0,F18-(F27+F28+F30+F29+F31))</f>
        <v>0</v>
      </c>
      <c r="G35" s="263">
        <f>IF(F18=0,0,F35/F18)</f>
        <v>0</v>
      </c>
      <c r="H35" s="1"/>
      <c r="I35" s="33"/>
      <c r="J35" s="33"/>
      <c r="K35" s="13"/>
      <c r="L35" s="6"/>
      <c r="M35" s="13"/>
      <c r="N35" s="13"/>
      <c r="O35" s="13"/>
    </row>
    <row r="36" spans="1:15" x14ac:dyDescent="0.3">
      <c r="A36" s="14"/>
      <c r="B36" s="13"/>
      <c r="C36" s="13"/>
      <c r="D36" s="255"/>
      <c r="E36" s="261" t="s">
        <v>245</v>
      </c>
      <c r="F36" s="259">
        <f>IF((F18-F29-F28-F30)&lt;0,0,(F18-F29-F28-F30))</f>
        <v>0</v>
      </c>
      <c r="G36" s="263">
        <f>IF(F18-F28-F29=0,0,F36/(F18-F28-F29))</f>
        <v>0</v>
      </c>
      <c r="H36" s="1"/>
      <c r="I36" s="33"/>
      <c r="J36" s="33"/>
      <c r="K36" s="13"/>
      <c r="L36" s="6"/>
      <c r="M36" s="13"/>
      <c r="N36" s="13"/>
      <c r="O36" s="13"/>
    </row>
    <row r="37" spans="1:15" ht="7.2" customHeight="1" x14ac:dyDescent="0.3">
      <c r="A37" s="14"/>
      <c r="B37" s="13"/>
      <c r="C37" s="13"/>
      <c r="D37" s="255"/>
      <c r="E37" s="258"/>
      <c r="F37" s="19"/>
      <c r="G37" s="60"/>
      <c r="H37" s="1"/>
      <c r="I37" s="33"/>
      <c r="J37" s="33"/>
      <c r="K37" s="13"/>
      <c r="L37" s="6"/>
      <c r="M37" s="13"/>
      <c r="N37" s="13"/>
      <c r="O37" s="13"/>
    </row>
    <row r="38" spans="1:15" ht="30.6" customHeight="1" thickBot="1" x14ac:dyDescent="0.35">
      <c r="A38" s="402" t="str">
        <f>IF(F32=F20,"","WARNING: Pre development and post development areas don't match, so evaluation of the Hydrologic Condition Method is not appropriate within this drainage area. Designer may consider HCM across drainage areas.")</f>
        <v/>
      </c>
      <c r="B38" s="403"/>
      <c r="C38" s="403"/>
      <c r="D38" s="403"/>
      <c r="E38" s="403"/>
      <c r="F38" s="403"/>
      <c r="G38" s="404"/>
      <c r="H38" s="1"/>
      <c r="I38" s="33"/>
      <c r="J38" s="33"/>
      <c r="K38" s="13"/>
      <c r="L38" s="6"/>
      <c r="M38" s="13"/>
      <c r="N38" s="13"/>
      <c r="O38" s="13"/>
    </row>
    <row r="39" spans="1:15" ht="43.2" x14ac:dyDescent="0.3">
      <c r="A39" s="405" t="s">
        <v>242</v>
      </c>
      <c r="B39" s="406"/>
      <c r="C39" s="57"/>
      <c r="D39" s="236"/>
      <c r="E39" s="237" t="s">
        <v>219</v>
      </c>
      <c r="F39" s="238" t="s">
        <v>218</v>
      </c>
      <c r="G39" s="58"/>
      <c r="H39" s="1"/>
      <c r="I39" s="33"/>
      <c r="K39" s="13"/>
      <c r="L39" s="6"/>
      <c r="M39" s="13"/>
      <c r="N39" s="13"/>
      <c r="O39" s="13"/>
    </row>
    <row r="40" spans="1:15" ht="14.4" customHeight="1" x14ac:dyDescent="0.3">
      <c r="A40" s="407"/>
      <c r="B40" s="408"/>
      <c r="C40" s="13"/>
      <c r="D40" s="20" t="s">
        <v>216</v>
      </c>
      <c r="E40" s="198">
        <v>0</v>
      </c>
      <c r="F40" s="171">
        <v>0</v>
      </c>
      <c r="G40" s="60"/>
      <c r="H40" s="1"/>
      <c r="I40" s="33"/>
      <c r="J40" s="33"/>
      <c r="K40" s="13"/>
      <c r="L40" s="6"/>
      <c r="M40" s="13"/>
      <c r="N40" s="13"/>
      <c r="O40" s="13"/>
    </row>
    <row r="41" spans="1:15" ht="14.4" customHeight="1" x14ac:dyDescent="0.3">
      <c r="A41" s="407"/>
      <c r="B41" s="408"/>
      <c r="C41" s="13"/>
      <c r="D41" s="20" t="s">
        <v>217</v>
      </c>
      <c r="E41" s="198">
        <v>0</v>
      </c>
      <c r="F41" s="171">
        <v>0</v>
      </c>
      <c r="G41" s="60"/>
      <c r="H41" s="1"/>
      <c r="I41" s="33"/>
      <c r="J41" s="33"/>
      <c r="K41" s="13"/>
      <c r="L41" s="6"/>
      <c r="M41" s="13"/>
      <c r="N41" s="13"/>
      <c r="O41" s="13"/>
    </row>
    <row r="42" spans="1:15" ht="7.2" customHeight="1" thickBot="1" x14ac:dyDescent="0.35">
      <c r="A42" s="16"/>
      <c r="B42" s="92"/>
      <c r="C42" s="192"/>
      <c r="D42" s="192"/>
      <c r="E42" s="192"/>
      <c r="F42" s="193"/>
      <c r="G42" s="70"/>
      <c r="H42" s="1"/>
      <c r="I42" s="33"/>
      <c r="J42" s="33"/>
      <c r="K42" s="13"/>
      <c r="L42" s="6"/>
      <c r="M42" s="13"/>
      <c r="N42" s="13"/>
      <c r="O42" s="13"/>
    </row>
    <row r="43" spans="1:15" ht="14.4" customHeight="1" x14ac:dyDescent="0.35">
      <c r="A43" s="56" t="s">
        <v>59</v>
      </c>
      <c r="B43" s="240"/>
      <c r="C43" s="57"/>
      <c r="D43" s="123" t="s">
        <v>60</v>
      </c>
      <c r="E43" s="123" t="s">
        <v>61</v>
      </c>
      <c r="F43" s="123" t="s">
        <v>62</v>
      </c>
      <c r="G43" s="58"/>
      <c r="K43" s="10"/>
      <c r="L43" s="13"/>
      <c r="M43" s="13"/>
      <c r="N43" s="13"/>
      <c r="O43" s="13"/>
    </row>
    <row r="44" spans="1:15" ht="14.4" customHeight="1" x14ac:dyDescent="0.3">
      <c r="A44" s="399" t="s">
        <v>112</v>
      </c>
      <c r="B44" s="386"/>
      <c r="C44" s="400"/>
      <c r="D44" s="265">
        <f>(IF($C$10&lt;0.2*Lookup!$B$13,0,(('SN8'!$C$10-0.2*Lookup!$B$13)^2/('SN8'!$C$10+0.8*Lookup!$B$13)))*$B$15+IF($C$10&lt;0.2*Lookup!$B$14,0,(('SN8'!$C$10-0.2*Lookup!$B$14)^2/('SN8'!$C$10+0.8*Lookup!$B$14)))*$B$16+IF($C$10&lt;0.2*Lookup!$B$15,0,(('SN8'!$C$10-0.2*Lookup!$B$15)^2/('SN8'!$C$10+0.8*Lookup!$B$15)))*$B$17++IF($C$10&lt;0.2*Lookup!$B$17,0,(('SN8'!$C$10-0.2*Lookup!$B$17)^2/('SN8'!$C$10+0.8*Lookup!$B$17)))*$B$18+IF($C$10&lt;0.2*Lookup!$C$13,0,(('SN8'!$C$10-0.2*Lookup!$C$13)^2/('SN8'!C$10+0.8*Lookup!$C$13)))*$C$15+IF($C$10&lt;0.2*Lookup!$C$14,0,(('SN8'!$C$10-0.2*Lookup!$C$14)^2/('SN8'!$C$10+0.8*Lookup!$C$14)))*$C$16+IF($C$10&lt;0.2*Lookup!$C$15,0,(('SN8'!$C$10-0.2*Lookup!$C$15)^2/('SN8'!$C$10+0.8*Lookup!$C$15)))*$C$17+IF($C$10&lt;0.2*Lookup!$C$17,0,(('SN8'!$C$10-0.2*Lookup!$C$17)^2/('SN8'!$C$10+0.8*Lookup!$C$17)))*$C$18+IF($C$10&lt;0.2*Lookup!$D$13,0,(('SN8'!$C$10-0.2*Lookup!$D$13)^2/('SN8'!$C$10+0.8*Lookup!$D$13)))*$D$15+IF($C$10&lt;0.2*Lookup!$D$14,0,(('SN8'!$C$10-0.2*Lookup!$D$14)^2/('SN8'!$C$10+0.8*Lookup!$D$14)))*$D$16+IF($C$10&lt;0.2*Lookup!$D$15,0,(('SN8'!$C$10-0.2*Lookup!$D$15)^2/('SN8'!$C$10+0.8*Lookup!$D$15)))*$D$17+IF($C$10&lt;0.2*Lookup!$D$17,0,(('SN8'!$C$10-0.2*Lookup!$D$17)^2/('SN8'!$C$10+0.8*Lookup!$D$17)))*$D$18+IF($C$10&lt;0.2*Lookup!$E$13,0,(('SN8'!$C$10-0.2*Lookup!$E$13)^2/('SN8'!$C$10+0.8*Lookup!$E$13)))*$E$15+IF($C$10&lt;0.2*Lookup!$E$14,0,(('SN8'!$C$10-0.2*Lookup!$E$14)^2/('SN8'!$C$10+0.8*Lookup!$E$14)))*$E$16+IF($C$10&lt;0.2*Lookup!$E$15,0,(('SN8'!$C$10-0.2*Lookup!$E$15)^2/('SN8'!$C$10+0.8*Lookup!$E$15)))*$E$17+IF($C$10&lt;0.2*Lookup!$E$17,0,(('SN8'!$C$10-0.2*Lookup!$E$17)^2/('SN8'!$C$10+0.8*Lookup!$E$17)))*$E$18)/12</f>
        <v>0</v>
      </c>
      <c r="E44" s="265">
        <f>(IF($D$10&lt;0.2*Lookup!$B$13,0,(('SN8'!$D$10-0.2*Lookup!$B$13)^2/('SN8'!$D$10+0.8*Lookup!$B$13)))*$B$15+IF($D$10&lt;0.2*Lookup!$B$14,0,(('SN8'!$D$10-0.2*Lookup!$B$14)^2/('SN8'!$D$10+0.8*Lookup!$B$14)))*$B$16+IF($D$10&lt;0.2*Lookup!$B$15,0,(('SN8'!$D$10-0.2*Lookup!$B$15)^2/('SN8'!$D$10+0.8*Lookup!$B$15)))*$B$17++IF($D$10&lt;0.2*Lookup!$B$17,0,(('SN8'!$D$10-0.2*Lookup!$B$17)^2/('SN8'!$D$10+0.8*Lookup!$B$17)))*$B$18+IF($D$10&lt;0.2*Lookup!$C$13,0,(('SN8'!$D$10-0.2*Lookup!$C$13)^2/('SN8'!C$10+0.8*Lookup!$C$13)))*$C$15+IF($D$10&lt;0.2*Lookup!$C$14,0,(('SN8'!$D$10-0.2*Lookup!$C$14)^2/('SN8'!$D$10+0.8*Lookup!$C$14)))*$C$16+IF($D$10&lt;0.2*Lookup!$C$15,0,(('SN8'!$D$10-0.2*Lookup!$C$15)^2/('SN8'!$D$10+0.8*Lookup!$C$15)))*$C$17+IF($D$10&lt;0.2*Lookup!$C$17,0,(('SN8'!$D$10-0.2*Lookup!$C$17)^2/('SN8'!$D$10+0.8*Lookup!$C$17)))*$C$18+IF($D$10&lt;0.2*Lookup!$D$13,0,(('SN8'!$D$10-0.2*Lookup!$D$13)^2/('SN8'!$D$10+0.8*Lookup!$D$13)))*$D$15+IF($D$10&lt;0.2*Lookup!$D$14,0,(('SN8'!$D$10-0.2*Lookup!$D$14)^2/('SN8'!$D$10+0.8*Lookup!$D$14)))*$D$16+IF($D$10&lt;0.2*Lookup!$D$15,0,(('SN8'!$D$10-0.2*Lookup!$D$15)^2/('SN8'!$D$10+0.8*Lookup!$D$15)))*$D$17+IF($D$10&lt;0.2*Lookup!$D$17,0,(('SN8'!$D$10-0.2*Lookup!$D$17)^2/('SN8'!$D$10+0.8*Lookup!$D$17)))*$D$18+IF($D$10&lt;0.2*Lookup!$E$13,0,(('SN8'!$D$10-0.2*Lookup!$E$13)^2/('SN8'!$D$10+0.8*Lookup!$E$13)))*$E$15+IF($D$10&lt;0.2*Lookup!$E$14,0,(('SN8'!$D$10-0.2*Lookup!$E$14)^2/('SN8'!$D$10+0.8*Lookup!$E$14)))*$E$16+IF($D$10&lt;0.2*Lookup!$E$15,0,(('SN8'!$D$10-0.2*Lookup!$E$15)^2/('SN8'!$D$10+0.8*Lookup!$E$15)))*$E$17++IF($D$10&lt;0.2*Lookup!$E$17,0,(('SN8'!$D$10-0.2*Lookup!$E$17)^2/('SN8'!$D$10+0.8*Lookup!$E$17)))*$E$18)/12</f>
        <v>0</v>
      </c>
      <c r="F44" s="265">
        <f>(IF($E$10&lt;0.2*Lookup!$B$13,0,(('SN8'!$E$10-0.2*Lookup!$B$13)^2/('SN8'!$E$10+0.8*Lookup!$B$13)))*$B$15+IF($E$10&lt;0.2*Lookup!$B$14,0,(('SN8'!$E$10-0.2*Lookup!$B$14)^2/('SN8'!$E$10+0.8*Lookup!$B$14)))*$B$16+IF($E$10&lt;0.2*Lookup!$B$15,0,(('SN8'!$E$10-0.2*Lookup!$B$15)^2/('SN8'!$E$10+0.8*Lookup!$B$15)))*$B$17++IF($E$10&lt;0.2*Lookup!$B$17,0,(('SN8'!$E$10-0.2*Lookup!$B$17)^2/('SN8'!$E$10+0.8*Lookup!$B$17)))*$B$18+IF($E$10&lt;0.2*Lookup!$C$13,0,(('SN8'!$E$10-0.2*Lookup!$C$13)^2/('SN8'!C$10+0.8*Lookup!$C$13)))*$C$15+IF($E$10&lt;0.2*Lookup!$C$14,0,(('SN8'!$E$10-0.2*Lookup!$C$14)^2/('SN8'!$E$10+0.8*Lookup!$C$14)))*$C$16+IF($E$10&lt;0.2*Lookup!$C$15,0,(('SN8'!$E$10-0.2*Lookup!$C$15)^2/('SN8'!$E$10+0.8*Lookup!$C$15)))*$C$17+IF($E$10&lt;0.2*Lookup!$C$17,0,(('SN8'!$E$10-0.2*Lookup!$C$17)^2/('SN8'!$E$10+0.8*Lookup!$C$17)))*$C$18+IF($E$10&lt;0.2*Lookup!$D$13,0,(('SN8'!$E$10-0.2*Lookup!$D$13)^2/('SN8'!$E$10+0.8*Lookup!$D$13)))*$D$15+IF($E$10&lt;0.2*Lookup!$D$14,0,(('SN8'!$E$10-0.2*Lookup!$D$14)^2/('SN8'!$E$10+0.8*Lookup!$D$14)))*$D$16+IF($E$10&lt;0.2*Lookup!$D$15,0,(('SN8'!$E$10-0.2*Lookup!$D$15)^2/('SN8'!$E$10+0.8*Lookup!$D$15)))*$D$17+IF($E$10&lt;0.2*Lookup!$D$17,0,(('SN8'!$E$10-0.2*Lookup!$D$17)^2/('SN8'!$E$10+0.8*Lookup!$D$17)))*$D$18+IF($E$10&lt;0.2*Lookup!$E$13,0,(('SN8'!$E$10-0.2*Lookup!$E$13)^2/('SN8'!$E$10+0.8*Lookup!$E$13)))*$E$15+IF($E$10&lt;0.2*Lookup!$E$14,0,(('SN8'!$E$10-0.2*Lookup!$E$14)^2/('SN8'!$E$10+0.8*Lookup!$E$14)))*$E$16+IF($E$10&lt;0.2*Lookup!$E$15,0,(('SN8'!$E$10-0.2*Lookup!$E$15)^2/('SN8'!$E$10+0.8*Lookup!$E$15)))*$E$17++IF($E$10&lt;0.2*Lookup!$E$17,0,(('SN8'!$E$10-0.2*Lookup!$E$17)^2/('SN8'!$E$10+0.8*Lookup!$E$17)))*$E$18)/12</f>
        <v>0</v>
      </c>
      <c r="G44" s="60"/>
      <c r="K44" s="13"/>
      <c r="L44" s="6"/>
      <c r="M44" s="13"/>
      <c r="N44" s="13"/>
      <c r="O44" s="13"/>
    </row>
    <row r="45" spans="1:15" ht="14.4" customHeight="1" x14ac:dyDescent="0.3">
      <c r="A45" s="399" t="s">
        <v>113</v>
      </c>
      <c r="B45" s="386"/>
      <c r="C45" s="400"/>
      <c r="D45" s="265">
        <f>(IF($C$10&lt;0.2*Lookup!$B$13,0,(('SN8'!$C$10-0.2*Lookup!$B$13)^2/('SN8'!$C$10+0.8*Lookup!$B$13)))*$B$24+IF($C$10&lt;0.2*Lookup!$B$14,0,(('SN8'!$C$10-0.2*Lookup!$B$14)^2/('SN8'!$C$10+0.8*Lookup!$B$14)))*$B$25+IF($C$10&lt;0.2*Lookup!$B$15,0,(('SN8'!$C$10-0.2*Lookup!$B$15)^2/('SN8'!$C$10+0.8*Lookup!$B$15)))*$B$26+IF($C$10&lt;0.2*Lookup!$C$13,0,(('SN8'!$C$10-0.2*Lookup!$C$13)^2/('SN8'!C$10+0.8*Lookup!$C$13)))*$C$24+IF($C$10&lt;0.2*Lookup!$C$14,0,(('SN8'!$C$10-0.2*Lookup!$C$14)^2/('SN8'!$C$10+0.8*Lookup!$C$14)))*$C$25+IF($C$10&lt;0.2*Lookup!$C$15,0,(('SN8'!$C$10-0.2*Lookup!$C$15)^2/('SN8'!$C$10+0.8*Lookup!$C$15)))*$C$26+IF($C$10&lt;0.2*Lookup!$D$13,0,(('SN8'!$C$10-0.2*Lookup!$D$13)^2/('SN8'!$C$10+0.8*Lookup!$D$13)))*$D$24+IF($C$10&lt;0.2*Lookup!$D$14,0,(('SN8'!$C$10-0.2*Lookup!$D$14)^2/('SN8'!$C$10+0.8*Lookup!$D$14)))*$D$25+IF($C$10&lt;0.2*Lookup!$D$15,0,(('SN8'!$C$10-0.2*Lookup!$D$15)^2/('SN8'!$C$10+0.8*Lookup!$D$15)))*$D$26+IF($C$10&lt;0.2*Lookup!$E$13,0,(('SN8'!$C$10-0.2*Lookup!$E$13)^2/('SN8'!$C$10+0.8*Lookup!$E$13)))*$E$24+IF($C$10&lt;0.2*Lookup!$E$14,0,(('SN8'!$C$10-0.2*Lookup!$E$14)^2/('SN8'!$C$10+0.8*Lookup!$E$14)))*$E$25+IF($C$10&lt;0.2*Lookup!$E$15,0,(('SN8'!$C$10-0.2*Lookup!$E$15)^2/('SN8'!$C$10+0.8*Lookup!$E$15)))*$E$26+(($C$10-0.2*Lookup!B17)^2/($C$10+0.8*Lookup!B17)*(F27+F28+F29+F30)))/12</f>
        <v>0</v>
      </c>
      <c r="E45" s="265">
        <f>(IF($D$10&lt;0.2*Lookup!$B$13,0,(('SN8'!$D$10-0.2*Lookup!$B$13)^2/('SN8'!$D$10+0.8*Lookup!$B$13)))*$B$24+IF($D$10&lt;0.2*Lookup!$B$14,0,(('SN8'!$D$10-0.2*Lookup!$B$14)^2/('SN8'!$D$10+0.8*Lookup!$B$14)))*$B$25+IF($D$10&lt;0.2*Lookup!$B$15,0,(('SN8'!$D$10-0.2*Lookup!$B$15)^2/('SN8'!$D$10+0.8*Lookup!$B$15)))*$B$26+IF($D$10&lt;0.2*Lookup!$C$13,0,(('SN8'!$D$10-0.2*Lookup!$C$13)^2/('SN8'!C$10+0.8*Lookup!$C$13)))*$C$24+IF($D$10&lt;0.2*Lookup!$C$14,0,(('SN8'!$D$10-0.2*Lookup!$C$14)^2/('SN8'!$D$10+0.8*Lookup!$C$14)))*$C$25+IF($D$10&lt;0.2*Lookup!$C$15,0,(('SN8'!$D$10-0.2*Lookup!$C$15)^2/('SN8'!$D$10+0.8*Lookup!$C$15)))*$C$26+IF($D$10&lt;0.2*Lookup!$D$13,0,(('SN8'!$D$10-0.2*Lookup!$D$13)^2/('SN8'!$D$10+0.8*Lookup!$D$13)))*$D$24+IF($D$10&lt;0.2*Lookup!$D$14,0,(('SN8'!$D$10-0.2*Lookup!$D$14)^2/('SN8'!$D$10+0.8*Lookup!$D$14)))*$D$25+IF($D$10&lt;0.2*Lookup!$D$15,0,(('SN8'!$D$10-0.2*Lookup!$D$15)^2/('SN8'!$D$10+0.8*Lookup!$D$15)))*$D$26+IF($D$10&lt;0.2*Lookup!$E$13,0,(('SN8'!$D$10-0.2*Lookup!$E$13)^2/('SN8'!$D$10+0.8*Lookup!$E$13)))*$E$24+IF($D$10&lt;0.2*Lookup!$E$14,0,(('SN8'!$D$10-0.2*Lookup!$E$14)^2/('SN8'!$D$10+0.8*Lookup!$E$14)))*$E$25+IF($D$10&lt;0.2*Lookup!$E$15,0,(('SN8'!$D$10-0.2*Lookup!$E$15)^2/('SN8'!$D$10+0.8*Lookup!$E$15)))*$E$26+(($D$10-0.2*Lookup!B17)^2/($D$10+0.8*Lookup!B17)*(F27+F28+F29+F30)))/12</f>
        <v>0</v>
      </c>
      <c r="F45" s="265">
        <f>(IF($E$10&lt;0.2*Lookup!$B$13,0,(('SN8'!$E$10-0.2*Lookup!$B$13)^2/('SN8'!$E$10+0.8*Lookup!$B$13)))*$B$24+IF($E$10&lt;0.2*Lookup!$B$14,0,(('SN8'!$E$10-0.2*Lookup!$B$14)^2/('SN8'!$E$10+0.8*Lookup!$B$14)))*$B$25+IF($E$10&lt;0.2*Lookup!$B$15,0,(('SN8'!$E$10-0.2*Lookup!$B$15)^2/('SN8'!$E$10+0.8*Lookup!$B$15)))*$B$26+IF($E$10&lt;0.2*Lookup!$C$13,0,(('SN8'!$E$10-0.2*Lookup!$C$13)^2/('SN8'!C$10+0.8*Lookup!$C$13)))*$C$24+IF($E$10&lt;0.2*Lookup!$C$14,0,(('SN8'!$E$10-0.2*Lookup!$C$14)^2/('SN8'!$E$10+0.8*Lookup!$C$14)))*$C$25+IF($E$10&lt;0.2*Lookup!$C$15,0,(('SN8'!$E$10-0.2*Lookup!$C$15)^2/('SN8'!$E$10+0.8*Lookup!$C$15)))*$C$26+IF($E$10&lt;0.2*Lookup!$D$13,0,(('SN8'!$E$10-0.2*Lookup!$D$13)^2/('SN8'!$E$10+0.8*Lookup!$D$13)))*$D$24+IF($E$10&lt;0.2*Lookup!$D$14,0,(('SN8'!$E$10-0.2*Lookup!$D$14)^2/('SN8'!$E$10+0.8*Lookup!$D$14)))*$D$25+IF($E$10&lt;0.2*Lookup!$D$15,0,(('SN8'!$E$10-0.2*Lookup!$D$15)^2/('SN8'!$E$10+0.8*Lookup!$D$15)))*$D$26+IF($E$10&lt;0.2*Lookup!$E$13,0,(('SN8'!$E$10-0.2*Lookup!$E$13)^2/('SN8'!$E$10+0.8*Lookup!$E$13)))*$E$24+IF($E$10&lt;0.2*Lookup!$E$14,0,(('SN8'!$E$10-0.2*Lookup!$E$14)^2/('SN8'!$E$10+0.8*Lookup!$E$14)))*$E$25+IF($E$10&lt;0.2*Lookup!$E$15,0,(('SN8'!$E$10-0.2*Lookup!$E$15)^2/('SN8'!$E$10+0.8*Lookup!$E$15)))*$E$26+(($E$10-0.2*Lookup!B17)^2/($E$10+0.8*Lookup!B17)*(F27+F28+F29+F30)))/12</f>
        <v>0</v>
      </c>
      <c r="G45" s="60"/>
      <c r="K45" s="13"/>
      <c r="L45" s="6"/>
      <c r="M45" s="13"/>
      <c r="N45" s="13"/>
      <c r="O45" s="13"/>
    </row>
    <row r="46" spans="1:15" ht="15.6" customHeight="1" thickBot="1" x14ac:dyDescent="0.35">
      <c r="A46" s="16"/>
      <c r="B46" s="89"/>
      <c r="C46" s="92"/>
      <c r="D46" s="93"/>
      <c r="E46" s="89"/>
      <c r="F46" s="89"/>
      <c r="G46" s="70"/>
      <c r="K46" s="13"/>
      <c r="L46" s="6"/>
      <c r="M46" s="13"/>
      <c r="N46" s="13"/>
      <c r="O46" s="13"/>
    </row>
    <row r="47" spans="1:15" ht="15.6" x14ac:dyDescent="0.3">
      <c r="A47" s="56" t="s">
        <v>64</v>
      </c>
      <c r="B47" s="85"/>
      <c r="C47" s="86"/>
      <c r="D47" s="87"/>
      <c r="E47" s="85"/>
      <c r="F47" s="85"/>
      <c r="G47" s="58"/>
      <c r="K47" s="13"/>
      <c r="L47" s="6"/>
      <c r="M47" s="13"/>
      <c r="N47" s="13"/>
      <c r="O47" s="13"/>
    </row>
    <row r="48" spans="1:15" ht="44.4" customHeight="1" x14ac:dyDescent="0.3">
      <c r="A48" s="394" t="s">
        <v>214</v>
      </c>
      <c r="B48" s="395"/>
      <c r="C48" s="395"/>
      <c r="D48" s="395"/>
      <c r="E48" s="395"/>
      <c r="F48" s="395"/>
      <c r="G48" s="396"/>
      <c r="K48" s="13"/>
      <c r="L48" s="6"/>
      <c r="M48" s="13"/>
      <c r="N48" s="13"/>
      <c r="O48" s="13"/>
    </row>
    <row r="49" spans="1:15" ht="15.6" x14ac:dyDescent="0.35">
      <c r="A49" s="88" t="s">
        <v>71</v>
      </c>
      <c r="B49" s="117" t="s">
        <v>166</v>
      </c>
      <c r="C49" s="409" t="s">
        <v>71</v>
      </c>
      <c r="D49" s="410"/>
      <c r="E49" s="42" t="s">
        <v>166</v>
      </c>
      <c r="F49" s="19"/>
      <c r="G49" s="60"/>
      <c r="K49" s="13"/>
      <c r="L49" s="6"/>
      <c r="M49" s="13"/>
      <c r="N49" s="13"/>
      <c r="O49" s="13"/>
    </row>
    <row r="50" spans="1:15" x14ac:dyDescent="0.3">
      <c r="A50" s="195"/>
      <c r="B50" s="172"/>
      <c r="C50" s="351"/>
      <c r="D50" s="352"/>
      <c r="E50" s="173"/>
      <c r="F50" s="13"/>
      <c r="G50" s="60"/>
      <c r="I50" s="113"/>
      <c r="J50" s="113"/>
      <c r="K50" s="113"/>
      <c r="L50" s="6"/>
      <c r="M50" s="13"/>
      <c r="N50" s="13"/>
      <c r="O50" s="13"/>
    </row>
    <row r="51" spans="1:15" x14ac:dyDescent="0.3">
      <c r="A51" s="195"/>
      <c r="B51" s="172"/>
      <c r="C51" s="351"/>
      <c r="D51" s="352"/>
      <c r="E51" s="173"/>
      <c r="F51" s="13"/>
      <c r="G51" s="60"/>
      <c r="I51" s="113"/>
      <c r="J51" s="113"/>
      <c r="K51" s="113"/>
      <c r="L51" s="6"/>
      <c r="M51" s="13"/>
      <c r="N51" s="13"/>
      <c r="O51" s="13"/>
    </row>
    <row r="52" spans="1:15" x14ac:dyDescent="0.3">
      <c r="A52" s="195"/>
      <c r="B52" s="172"/>
      <c r="C52" s="351"/>
      <c r="D52" s="352"/>
      <c r="E52" s="173"/>
      <c r="F52" s="13"/>
      <c r="G52" s="60"/>
      <c r="I52" s="113"/>
      <c r="J52" s="113"/>
      <c r="K52" s="113"/>
      <c r="L52" s="6"/>
      <c r="M52" s="13"/>
      <c r="N52" s="13"/>
      <c r="O52" s="13"/>
    </row>
    <row r="53" spans="1:15" x14ac:dyDescent="0.3">
      <c r="A53" s="195"/>
      <c r="B53" s="172"/>
      <c r="C53" s="351"/>
      <c r="D53" s="352"/>
      <c r="E53" s="173"/>
      <c r="F53" s="19"/>
      <c r="G53" s="60"/>
      <c r="K53" s="13"/>
      <c r="L53" s="6"/>
      <c r="M53" s="13"/>
      <c r="N53" s="13"/>
      <c r="O53" s="13"/>
    </row>
    <row r="54" spans="1:15" x14ac:dyDescent="0.3">
      <c r="A54" s="195"/>
      <c r="B54" s="172"/>
      <c r="C54" s="351"/>
      <c r="D54" s="352"/>
      <c r="E54" s="173"/>
      <c r="F54" s="19"/>
      <c r="G54" s="60"/>
      <c r="K54" s="13"/>
      <c r="L54" s="6"/>
      <c r="M54" s="13"/>
      <c r="N54" s="13"/>
      <c r="O54" s="13"/>
    </row>
    <row r="55" spans="1:15" ht="13.8" customHeight="1" thickBot="1" x14ac:dyDescent="0.35">
      <c r="A55" s="16"/>
      <c r="B55" s="89"/>
      <c r="C55" s="90"/>
      <c r="D55" s="90"/>
      <c r="E55" s="89"/>
      <c r="F55" s="89"/>
      <c r="G55" s="70"/>
      <c r="K55" s="13"/>
      <c r="L55" s="6"/>
      <c r="M55" s="13"/>
      <c r="N55" s="13"/>
      <c r="O55" s="13"/>
    </row>
    <row r="56" spans="1:15" ht="15.6" x14ac:dyDescent="0.3">
      <c r="A56" s="77" t="s">
        <v>109</v>
      </c>
      <c r="B56" s="78"/>
      <c r="C56" s="78"/>
      <c r="D56" s="79"/>
      <c r="E56" s="79"/>
      <c r="F56" s="79"/>
      <c r="G56" s="58"/>
      <c r="K56" s="13"/>
      <c r="L56" s="6"/>
      <c r="M56" s="13"/>
      <c r="N56" s="13"/>
      <c r="O56" s="13"/>
    </row>
    <row r="57" spans="1:15" ht="15.6" x14ac:dyDescent="0.3">
      <c r="A57" s="80" t="s">
        <v>33</v>
      </c>
      <c r="B57" s="47" t="s">
        <v>73</v>
      </c>
      <c r="C57" s="47" t="s">
        <v>74</v>
      </c>
      <c r="D57" s="48" t="s">
        <v>75</v>
      </c>
      <c r="E57" s="48" t="s">
        <v>120</v>
      </c>
      <c r="F57" s="48" t="s">
        <v>121</v>
      </c>
      <c r="G57" s="60"/>
      <c r="K57" s="13"/>
      <c r="L57" s="6"/>
      <c r="M57" s="13"/>
      <c r="N57" s="13"/>
      <c r="O57" s="13"/>
    </row>
    <row r="58" spans="1:15" ht="15.6" x14ac:dyDescent="0.3">
      <c r="A58" s="61" t="s">
        <v>118</v>
      </c>
      <c r="B58" s="266">
        <f>B69</f>
        <v>0</v>
      </c>
      <c r="C58" s="267">
        <f>B77</f>
        <v>0</v>
      </c>
      <c r="D58" s="266">
        <f>D45-D44+(C10-0.2*Lookup!$B$17)^2/(C10+0.8*Lookup!$B$17)*$F$28/12-IF(C10-0.2*Lookup!$B$15&lt;0,0,(C10-0.2*Lookup!$B$15)^2/(C10+0.8*Lookup!$B$15))*$B$28/12-IF(C10-0.2*Lookup!$C$15&lt;0,0,(C10-0.2*Lookup!$C$15)^2/(C10+0.8*Lookup!$C$15))*$C$28/12-IF(C10-0.2*Lookup!$D$15&lt;0,0,(C10-0.2*Lookup!$D$15)^2/(C10+0.8*Lookup!$D$15))*$D$28/12-IF(C10-0.2*Lookup!$E$15&lt;0,0,(C10-0.2*Lookup!$E$15)^2/(C10+0.8*Lookup!$E$15)*$E$28)/12</f>
        <v>0</v>
      </c>
      <c r="E58" s="266">
        <f>E45-E44+(D10-0.2*Lookup!$B$17)^2/(D10+0.8*Lookup!$B$17)*$F$28/12-IF(D10-0.2*Lookup!$B$15&lt;0,0,(D10-0.2*Lookup!$B$15)^2/(D10+0.8*Lookup!$B$15))*$B$28/12-IF(D10-0.2*Lookup!$C$15&lt;0,0,(D10-0.2*Lookup!$C$15)^2/(D10+0.8*Lookup!$C$15))*$C$28/12-IF(D10-0.2*Lookup!$D$15&lt;0,0,(D10-0.2*Lookup!$D$15)^2/(D10+0.8*Lookup!$D$15))*$D$28/12-IF(D10-0.2*Lookup!$E$15&lt;0,0,(D10-0.2*Lookup!$E$15)^2/(D10+0.8*Lookup!$E$15)*$E$28)/12</f>
        <v>0</v>
      </c>
      <c r="F58" s="266">
        <f>F45-F44+(E10-0.2*Lookup!$B$17)^2/(E10+0.8*Lookup!$B$17)*$F$28/12-IF(E10-0.2*Lookup!$B$15&lt;0,0,(E10-0.2*Lookup!$B$15)^2/(E10+0.8*Lookup!$B$15))*$B$28/12-IF(E10-0.2*Lookup!$C$15&lt;0,0,(E10-0.2*Lookup!$C$15)^2/(E10+0.8*Lookup!$C$15))*$C$28/12-IF(E10-0.2*Lookup!$D$15&lt;0,0,(E10-0.2*Lookup!$D$15)^2/(E10+0.8*Lookup!$D$15))*$D$28/12-IF(E10-0.2*Lookup!$E$15&lt;0,0,(E10-0.2*Lookup!$E$15)^2/(E10+0.8*Lookup!$E$15)*$E$28)/12</f>
        <v>0</v>
      </c>
      <c r="G58" s="60"/>
      <c r="K58" s="13"/>
      <c r="L58" s="13"/>
      <c r="M58" s="13"/>
      <c r="N58" s="13"/>
      <c r="O58" s="13"/>
    </row>
    <row r="59" spans="1:15" ht="15.6" x14ac:dyDescent="0.3">
      <c r="A59" s="61" t="s">
        <v>72</v>
      </c>
      <c r="B59" s="268">
        <f ca="1">SUM($B$50:$B$54,$E$50:$E$54)-(SUMIF(A50:A54,"Green Roofs",B50:B54)+SUMIF(C50:D54,"Green Roofs",E50:E54))</f>
        <v>0</v>
      </c>
      <c r="C59" s="268">
        <f ca="1">SUM($B$50:$B$54,$E$50:$E$54)-(SUMIF(A50:A54,"Green Roofs",B50:B54)+SUMIF(C50:D54,"Green Roofs",E50:E54))</f>
        <v>0</v>
      </c>
      <c r="D59" s="268">
        <f>SUM($B$50:$B$54,$E$50:$E$54)</f>
        <v>0</v>
      </c>
      <c r="E59" s="268">
        <f t="shared" ref="E59:F59" si="1">SUM($B$50:$B$54,$E$50:$E$54)</f>
        <v>0</v>
      </c>
      <c r="F59" s="268">
        <f t="shared" si="1"/>
        <v>0</v>
      </c>
      <c r="G59" s="60"/>
      <c r="K59" s="24"/>
      <c r="L59" s="13"/>
      <c r="M59" s="13"/>
      <c r="N59" s="13"/>
      <c r="O59" s="13"/>
    </row>
    <row r="60" spans="1:15" ht="15.6" x14ac:dyDescent="0.3">
      <c r="A60" s="81" t="s">
        <v>119</v>
      </c>
      <c r="B60" s="268">
        <f ca="1">IF((B58-B59)&gt;0,B58-B59,0)</f>
        <v>0</v>
      </c>
      <c r="C60" s="268">
        <f ca="1">IF((C58-C59)&gt;0,C58-C59,0)</f>
        <v>0</v>
      </c>
      <c r="D60" s="268">
        <f>IF((D58-D59)&gt;0,D58-D59,0)</f>
        <v>0</v>
      </c>
      <c r="E60" s="268">
        <f>IF((E58-E59)&gt;0,E58-E59,0)</f>
        <v>0</v>
      </c>
      <c r="F60" s="268">
        <f>IF((F58-F59)&gt;0,F58-F59,0)</f>
        <v>0</v>
      </c>
      <c r="G60" s="60"/>
      <c r="K60" s="13"/>
      <c r="L60" s="13"/>
      <c r="M60" s="13"/>
      <c r="N60" s="13"/>
      <c r="O60" s="13"/>
    </row>
    <row r="61" spans="1:15" x14ac:dyDescent="0.3">
      <c r="A61" s="59" t="s">
        <v>44</v>
      </c>
      <c r="B61" s="27" t="str">
        <f>IF(B58=0,"n/a",IF(ROUND(B60,4)=0,"Yes","No"))</f>
        <v>n/a</v>
      </c>
      <c r="C61" s="27" t="str">
        <f ca="1">IF(ROUND(C60,4)=0,"Yes", "No")</f>
        <v>Yes</v>
      </c>
      <c r="D61" s="27" t="str">
        <f>IF(ROUND(D60,4)=0,"Yes", "No")</f>
        <v>Yes</v>
      </c>
      <c r="E61" s="27" t="str">
        <f>IF(ROUND(E60,4)=0,"Yes", "No")</f>
        <v>Yes</v>
      </c>
      <c r="F61" s="27" t="str">
        <f>IF(ROUND(F60,4)=0,"Yes", "No")</f>
        <v>Yes</v>
      </c>
      <c r="G61" s="60"/>
      <c r="H61" s="43"/>
      <c r="K61" s="13"/>
      <c r="L61" s="13"/>
      <c r="M61" s="13"/>
      <c r="N61" s="13"/>
      <c r="O61" s="13"/>
    </row>
    <row r="62" spans="1:15" x14ac:dyDescent="0.3">
      <c r="A62" s="59"/>
      <c r="B62" s="25"/>
      <c r="C62" s="25"/>
      <c r="D62" s="25"/>
      <c r="E62" s="25"/>
      <c r="F62" s="25"/>
      <c r="G62" s="60"/>
      <c r="K62" s="13"/>
      <c r="L62" s="13"/>
      <c r="M62" s="13"/>
      <c r="N62" s="13"/>
      <c r="O62" s="13"/>
    </row>
    <row r="63" spans="1:15" ht="15.6" x14ac:dyDescent="0.3">
      <c r="A63" s="110" t="s">
        <v>43</v>
      </c>
      <c r="B63" s="29" t="s">
        <v>34</v>
      </c>
      <c r="C63" s="28" t="str">
        <f>IF(F32=0,"n/a",200/((2+B10+C58*(24/F32))-(5*B10*C58*(12/F32)+4*(C58*(12/F32))^2)^(1/2)))</f>
        <v>n/a</v>
      </c>
      <c r="D63" s="28" t="str">
        <f>IF(F32=0,"n/a",200/((2+C10+D45*(24/F32))-(5*C10*D45*(12/F32)+4*(D45*(12/F32))^2)^(1/2)))</f>
        <v>n/a</v>
      </c>
      <c r="E63" s="28" t="str">
        <f>IF(F32=0,"n/a",200/((2+D10+E45*(24/F32))-(5*D10*E45*(12/F32)+4*(E45*(12/F32))^2)^(1/2)))</f>
        <v>n/a</v>
      </c>
      <c r="F63" s="28" t="str">
        <f>IF(F32=0,"n/a",200/((2+E10+F45*(24/F32))-(5*E10*F45*(12/F32)+4*(F45*(12/F32))^2)^(1/2)))</f>
        <v>n/a</v>
      </c>
      <c r="G63" s="60"/>
      <c r="K63" s="24"/>
      <c r="L63" s="13"/>
      <c r="M63" s="13"/>
      <c r="N63" s="13"/>
      <c r="O63" s="13"/>
    </row>
    <row r="64" spans="1:15" ht="16.2" x14ac:dyDescent="0.35">
      <c r="A64" s="111" t="s">
        <v>42</v>
      </c>
      <c r="B64" s="30" t="s">
        <v>34</v>
      </c>
      <c r="C64" s="26" t="str">
        <f>IF(F32=0,"n/a",IF(B59&gt;C58,"n/a",200/(2+B10+((C58-$B$59)*24/F32)-SQRT(5*B10*(C58-$B$59)*12/F32+4*((C58-$B$59)*12/F32)^2))))</f>
        <v>n/a</v>
      </c>
      <c r="D64" s="26" t="str">
        <f>IF(F32=0,"n/a",IF(D59&gt;D45,0,200/(2+C10+((D45-$B$59)*24/F32)-SQRT(5*C10*(D45-$B$59)*12/F32+4*((D45-$B$59)*12/F32)^2))))</f>
        <v>n/a</v>
      </c>
      <c r="E64" s="26" t="str">
        <f>IF(F32=0,"n/a",IF(E59&gt;E45,0,200/(2+D10+((E45-$B$59)*24/F32)-SQRT(5*D10*(E45-$B$59)*12/F32+4*((E45-$B$59)*12/F32)^2))))</f>
        <v>n/a</v>
      </c>
      <c r="F64" s="26" t="str">
        <f>IF(F32=0,"n/a",IF(F59&gt;F45,0,200/(2+E10+((F45-$B$59)*24/F32)-SQRT(5*E10*(F45-$B$59)*12/F32+4*((F45-$B$59)*12/F32)^2))))</f>
        <v>n/a</v>
      </c>
      <c r="G64" s="60"/>
      <c r="K64" s="24"/>
      <c r="L64" s="6"/>
      <c r="M64" s="13"/>
      <c r="N64" s="13"/>
      <c r="O64" s="13"/>
    </row>
    <row r="65" spans="1:15" ht="15.6" x14ac:dyDescent="0.3">
      <c r="A65" s="112" t="s">
        <v>36</v>
      </c>
      <c r="B65" s="82" t="s">
        <v>34</v>
      </c>
      <c r="C65" s="83" t="s">
        <v>34</v>
      </c>
      <c r="D65" s="84" t="str">
        <f>IF(F20-F19=0,"n/a",200/(C10+2*D44*12/(F20-F19)+2-SQRT(5*C10*D44*12/(F20-F19)+4*(D44*12/(F20-F19))^2)))</f>
        <v>n/a</v>
      </c>
      <c r="E65" s="84" t="str">
        <f>IF((F20-F19)=0,"n/a",200/(D10+2*E44*12/(F20-F19)+2-SQRT(5*D10*E44*12/(F20-F19)+4*(E44*12/(F20-F19))^2)))</f>
        <v>n/a</v>
      </c>
      <c r="F65" s="84" t="str">
        <f>IF((F20-F19)=0,"n/a",200/(E10+2*F44*12/(F20-F19)+2-SQRT(5*E10*F44*12/(F20-F19)+4*(F44*12/(F20-F19))^2)))</f>
        <v>n/a</v>
      </c>
      <c r="G65" s="60"/>
      <c r="K65" s="24"/>
      <c r="L65" s="6"/>
      <c r="M65" s="13"/>
      <c r="N65" s="13"/>
      <c r="O65" s="13"/>
    </row>
    <row r="66" spans="1:15" ht="16.2" thickBot="1" x14ac:dyDescent="0.35">
      <c r="A66" s="16"/>
      <c r="B66" s="17"/>
      <c r="C66" s="17"/>
      <c r="D66" s="17"/>
      <c r="E66" s="17"/>
      <c r="F66" s="17"/>
      <c r="G66" s="70"/>
      <c r="K66" s="24"/>
      <c r="L66" s="13"/>
      <c r="M66" s="13"/>
      <c r="N66" s="13"/>
      <c r="O66" s="13"/>
    </row>
    <row r="67" spans="1:15" ht="15.6" x14ac:dyDescent="0.3">
      <c r="A67" s="56" t="s">
        <v>76</v>
      </c>
      <c r="B67" s="57"/>
      <c r="C67" s="57"/>
      <c r="D67" s="57"/>
      <c r="E67" s="57"/>
      <c r="F67" s="178">
        <v>1</v>
      </c>
      <c r="G67" s="58"/>
      <c r="K67" s="24"/>
      <c r="L67" s="6"/>
      <c r="M67" s="13"/>
      <c r="N67" s="13"/>
      <c r="O67" s="13"/>
    </row>
    <row r="68" spans="1:15" ht="30.6" customHeight="1" x14ac:dyDescent="0.3">
      <c r="A68" s="59" t="s">
        <v>77</v>
      </c>
      <c r="B68" s="174"/>
      <c r="C68" s="386" t="str">
        <f>IF(F67=1,"","Reason recharge not required (if No is selected):")</f>
        <v/>
      </c>
      <c r="D68" s="386"/>
      <c r="E68" s="387"/>
      <c r="F68" s="387"/>
      <c r="G68" s="60"/>
      <c r="K68" s="24"/>
      <c r="L68" s="6"/>
      <c r="M68" s="13"/>
      <c r="N68" s="13"/>
      <c r="O68" s="13"/>
    </row>
    <row r="69" spans="1:15" ht="15.6" x14ac:dyDescent="0.3">
      <c r="A69" s="59" t="s">
        <v>117</v>
      </c>
      <c r="B69" s="265">
        <f>((B27+B28)*Lookup!B21+(C27+C28)*Lookup!C21+(D27+D28)*Lookup!D21+(E27+E28)*Lookup!E21*(F27+F28))/12</f>
        <v>0</v>
      </c>
      <c r="C69" s="301"/>
      <c r="D69" s="301"/>
      <c r="E69" s="182"/>
      <c r="F69" s="182"/>
      <c r="G69" s="60"/>
      <c r="K69" s="24"/>
      <c r="L69" s="6"/>
      <c r="M69" s="13"/>
      <c r="N69" s="13"/>
      <c r="O69" s="13"/>
    </row>
    <row r="70" spans="1:15" ht="42.6" customHeight="1" x14ac:dyDescent="0.3">
      <c r="A70" s="302" t="s">
        <v>110</v>
      </c>
      <c r="B70" s="27" t="str">
        <f>B61</f>
        <v>n/a</v>
      </c>
      <c r="C70" s="388" t="str">
        <f>IF(B70="No",IF(F67=1,"NOTE: Treatment provided is insufficient to meet the recharge standard within this drainage area.  Add more infiltrating practices unless recharge is being met site-wide. (check summary tab)","Standard not applicable."),"")</f>
        <v/>
      </c>
      <c r="D70" s="389"/>
      <c r="E70" s="389"/>
      <c r="F70" s="389"/>
      <c r="G70" s="390"/>
      <c r="K70" s="24"/>
      <c r="L70" s="13"/>
      <c r="M70" s="13"/>
      <c r="N70" s="13"/>
      <c r="O70" s="13"/>
    </row>
    <row r="71" spans="1:15" ht="101.4" customHeight="1" thickBot="1" x14ac:dyDescent="0.35">
      <c r="A71" s="222" t="s">
        <v>167</v>
      </c>
      <c r="B71" s="412"/>
      <c r="C71" s="412"/>
      <c r="D71" s="412"/>
      <c r="E71" s="412"/>
      <c r="F71" s="412"/>
      <c r="G71" s="413"/>
      <c r="K71" s="24"/>
      <c r="L71" s="6"/>
      <c r="M71" s="13"/>
      <c r="N71" s="13"/>
      <c r="O71" s="13"/>
    </row>
    <row r="72" spans="1:15" ht="75" customHeight="1" thickBot="1" x14ac:dyDescent="0.35">
      <c r="A72" s="269"/>
      <c r="B72" s="270"/>
      <c r="C72" s="270"/>
      <c r="D72" s="270"/>
      <c r="E72" s="270"/>
      <c r="F72" s="270"/>
      <c r="G72" s="270"/>
      <c r="K72" s="24"/>
      <c r="L72" s="6"/>
      <c r="M72" s="13"/>
      <c r="N72" s="13"/>
      <c r="O72" s="13"/>
    </row>
    <row r="73" spans="1:15" ht="15.6" x14ac:dyDescent="0.3">
      <c r="A73" s="56" t="s">
        <v>95</v>
      </c>
      <c r="B73" s="57"/>
      <c r="C73" s="57"/>
      <c r="D73" s="57"/>
      <c r="E73" s="178">
        <v>1</v>
      </c>
      <c r="F73" s="178">
        <v>1</v>
      </c>
      <c r="G73" s="58"/>
      <c r="K73" s="24"/>
      <c r="L73" s="6"/>
      <c r="M73" s="13"/>
      <c r="N73" s="13"/>
      <c r="O73" s="13"/>
    </row>
    <row r="74" spans="1:15" ht="15" customHeight="1" x14ac:dyDescent="0.3">
      <c r="A74" s="91"/>
      <c r="B74" s="7" t="s">
        <v>233</v>
      </c>
      <c r="C74" s="13"/>
      <c r="D74" s="13"/>
      <c r="E74" s="13"/>
      <c r="F74" s="7" t="s">
        <v>236</v>
      </c>
      <c r="G74" s="60"/>
      <c r="K74" s="24"/>
      <c r="L74" s="6"/>
      <c r="M74" s="13"/>
      <c r="N74" s="13"/>
      <c r="O74" s="13"/>
    </row>
    <row r="75" spans="1:15" ht="16.2" x14ac:dyDescent="0.35">
      <c r="A75" s="67" t="s">
        <v>221</v>
      </c>
      <c r="B75" s="265">
        <f>IF(F27+F28=0,0,(0.05+0.9*(G27+G28))*1*F32/12)</f>
        <v>0</v>
      </c>
      <c r="C75" s="373" t="s">
        <v>235</v>
      </c>
      <c r="D75" s="374"/>
      <c r="E75" s="75">
        <f>G35</f>
        <v>0</v>
      </c>
      <c r="G75" s="60"/>
      <c r="K75" s="24"/>
      <c r="L75" s="6"/>
      <c r="M75" s="13"/>
      <c r="N75" s="13"/>
      <c r="O75" s="13"/>
    </row>
    <row r="76" spans="1:15" ht="30" customHeight="1" x14ac:dyDescent="0.3">
      <c r="A76" s="61" t="s">
        <v>222</v>
      </c>
      <c r="B76" s="265">
        <f>IF(F30=0,0,IF(F73=2,IF(E76&gt;25%,0,(0.05+0.9*G30)*1*F32/12*(50%-2*E76)),(0.05+0.9*G30)*1*F32/12*0.5))</f>
        <v>0</v>
      </c>
      <c r="C76" s="375" t="s">
        <v>234</v>
      </c>
      <c r="D76" s="376"/>
      <c r="E76" s="225">
        <f>G36</f>
        <v>0</v>
      </c>
      <c r="G76" s="226" t="str">
        <f>IF(E76="n/a","",IF(E76&gt;25%,"Max 25% applied",""))</f>
        <v/>
      </c>
      <c r="K76" s="24"/>
      <c r="L76" s="13"/>
      <c r="M76" s="13"/>
      <c r="N76" s="13"/>
      <c r="O76" s="13"/>
    </row>
    <row r="77" spans="1:15" ht="15" customHeight="1" x14ac:dyDescent="0.3">
      <c r="A77" s="59" t="s">
        <v>111</v>
      </c>
      <c r="B77" s="265">
        <f>IF(E73=2,IF(E75&lt;5%,B75+B76,(B75+B76)*(100%-E75)),B75+B76)</f>
        <v>0</v>
      </c>
      <c r="C77" s="377" t="str">
        <f>IF(E73+F73=4,"ERROR! Net Reduction and Redevelopment cannot both apply","")</f>
        <v/>
      </c>
      <c r="D77" s="378"/>
      <c r="E77" s="378"/>
      <c r="F77" s="378"/>
      <c r="G77" s="379"/>
      <c r="K77" s="24"/>
      <c r="L77" s="13"/>
      <c r="M77" s="13"/>
      <c r="N77" s="13"/>
      <c r="O77" s="13"/>
    </row>
    <row r="78" spans="1:15" ht="30" x14ac:dyDescent="0.3">
      <c r="A78" s="302" t="s">
        <v>204</v>
      </c>
      <c r="B78" s="306">
        <f ca="1">IF(C59&gt;C58,C58,C59)</f>
        <v>0</v>
      </c>
      <c r="C78" s="63"/>
      <c r="D78" s="371" t="s">
        <v>209</v>
      </c>
      <c r="E78" s="371"/>
      <c r="F78" s="185"/>
      <c r="G78" s="186">
        <v>1</v>
      </c>
      <c r="K78" s="24"/>
      <c r="L78" s="13"/>
      <c r="M78" s="13"/>
      <c r="N78" s="13"/>
      <c r="O78" s="13"/>
    </row>
    <row r="79" spans="1:15" ht="30.6" customHeight="1" x14ac:dyDescent="0.3">
      <c r="A79" s="224" t="s">
        <v>149</v>
      </c>
      <c r="B79" s="306">
        <f ca="1">IF(G78=2,"N/A",IF(B77-B78&lt;0,0,B77-B78))</f>
        <v>0</v>
      </c>
      <c r="C79" s="63"/>
      <c r="D79" s="223"/>
      <c r="E79" s="223"/>
      <c r="F79" s="13"/>
      <c r="G79" s="64"/>
      <c r="K79" s="24"/>
      <c r="L79" s="13"/>
      <c r="M79" s="13"/>
      <c r="N79" s="13"/>
      <c r="O79" s="13"/>
    </row>
    <row r="80" spans="1:15" ht="10.8" customHeight="1" x14ac:dyDescent="0.3">
      <c r="A80" s="302"/>
      <c r="B80" s="13"/>
      <c r="C80" s="63"/>
      <c r="D80" s="13"/>
      <c r="E80" s="13"/>
      <c r="F80" s="13"/>
      <c r="G80" s="60"/>
      <c r="K80" s="13"/>
      <c r="L80" s="6"/>
      <c r="M80" s="13"/>
      <c r="N80" s="13"/>
      <c r="O80" s="13"/>
    </row>
    <row r="81" spans="1:15" ht="28.8" customHeight="1" x14ac:dyDescent="0.3">
      <c r="A81" s="401" t="str">
        <f>IF(B82="","","NOTE: Please include a copy of the appropriate STP worksheet(s) with the application.")</f>
        <v/>
      </c>
      <c r="B81" s="391" t="s">
        <v>160</v>
      </c>
      <c r="C81" s="392"/>
      <c r="D81" s="393"/>
      <c r="E81" s="297" t="s">
        <v>147</v>
      </c>
      <c r="F81" s="303" t="s">
        <v>138</v>
      </c>
      <c r="G81" s="60"/>
      <c r="K81" s="13"/>
      <c r="L81" s="6"/>
      <c r="M81" s="13"/>
      <c r="N81" s="13"/>
      <c r="O81" s="13"/>
    </row>
    <row r="82" spans="1:15" x14ac:dyDescent="0.3">
      <c r="A82" s="401"/>
      <c r="B82" s="372"/>
      <c r="C82" s="372"/>
      <c r="D82" s="372"/>
      <c r="E82" s="305"/>
      <c r="F82" s="108" t="str">
        <f>IF(B82="","",VLOOKUP(B82,Lookup!$H$13:$I$19,2,FALSE))</f>
        <v/>
      </c>
      <c r="G82" s="60"/>
    </row>
    <row r="83" spans="1:15" x14ac:dyDescent="0.3">
      <c r="A83" s="401"/>
      <c r="B83" s="372"/>
      <c r="C83" s="372"/>
      <c r="D83" s="372"/>
      <c r="E83" s="305"/>
      <c r="F83" s="108" t="str">
        <f>IF(B83="","",VLOOKUP(B83,Lookup!$H$13:$I$19,2,FALSE))</f>
        <v/>
      </c>
      <c r="G83" s="60"/>
    </row>
    <row r="84" spans="1:15" x14ac:dyDescent="0.3">
      <c r="A84" s="401"/>
      <c r="B84" s="372"/>
      <c r="C84" s="372"/>
      <c r="D84" s="372"/>
      <c r="E84" s="305"/>
      <c r="F84" s="108" t="str">
        <f>IF(B84="","",VLOOKUP(B84,Lookup!$H$13:$I$19,2,FALSE))</f>
        <v/>
      </c>
      <c r="G84" s="60"/>
    </row>
    <row r="85" spans="1:15" ht="15.6" x14ac:dyDescent="0.35">
      <c r="A85" s="118"/>
      <c r="B85" s="19"/>
      <c r="C85" s="19"/>
      <c r="D85" s="1" t="s">
        <v>153</v>
      </c>
      <c r="E85" s="307">
        <f>SUM(E82:E84)</f>
        <v>0</v>
      </c>
      <c r="F85" s="13" t="s">
        <v>90</v>
      </c>
      <c r="G85" s="60"/>
    </row>
    <row r="86" spans="1:15" ht="15.6" x14ac:dyDescent="0.35">
      <c r="A86" s="68"/>
      <c r="B86" s="19"/>
      <c r="C86" s="19"/>
      <c r="D86" s="1" t="s">
        <v>203</v>
      </c>
      <c r="E86" s="134" t="str">
        <f ca="1">IF(G78=2,"Yes",IF(ROUND(E85,4)&gt;=ROUND(B79,4),"Yes","No"))</f>
        <v>Yes</v>
      </c>
      <c r="F86" s="13"/>
      <c r="G86" s="60"/>
    </row>
    <row r="87" spans="1:15" ht="14.4" customHeight="1" x14ac:dyDescent="0.3">
      <c r="A87" s="368" t="str">
        <f ca="1">IF(E86="No","NOTE:  Add more water quality practices unless site balancing is being used. (Check summary tab)","")</f>
        <v/>
      </c>
      <c r="B87" s="369"/>
      <c r="C87" s="369"/>
      <c r="D87" s="369"/>
      <c r="E87" s="369"/>
      <c r="F87" s="369"/>
      <c r="G87" s="370"/>
    </row>
    <row r="88" spans="1:15" ht="51.6" customHeight="1" thickBot="1" x14ac:dyDescent="0.35">
      <c r="A88" s="239" t="s">
        <v>168</v>
      </c>
      <c r="B88" s="414"/>
      <c r="C88" s="414"/>
      <c r="D88" s="414"/>
      <c r="E88" s="414"/>
      <c r="F88" s="414"/>
      <c r="G88" s="414"/>
    </row>
    <row r="89" spans="1:15" ht="15.6" x14ac:dyDescent="0.3">
      <c r="A89" s="56" t="s">
        <v>96</v>
      </c>
      <c r="B89" s="57"/>
      <c r="C89" s="57"/>
      <c r="D89" s="57"/>
      <c r="E89" s="178">
        <v>1</v>
      </c>
      <c r="F89" s="178">
        <v>1</v>
      </c>
      <c r="G89" s="58"/>
    </row>
    <row r="90" spans="1:15" ht="29.4" customHeight="1" x14ac:dyDescent="0.3">
      <c r="A90" s="59" t="s">
        <v>77</v>
      </c>
      <c r="B90" s="125"/>
      <c r="C90" s="364" t="str">
        <f>IF(F89=2,"Waiver (if No is selected):","")</f>
        <v/>
      </c>
      <c r="D90" s="364"/>
      <c r="E90" s="380"/>
      <c r="F90" s="380"/>
      <c r="G90" s="60"/>
      <c r="M90" s="41"/>
    </row>
    <row r="91" spans="1:15" s="49" customFormat="1" ht="37.200000000000003" customHeight="1" x14ac:dyDescent="0.3">
      <c r="A91" s="59" t="s">
        <v>80</v>
      </c>
      <c r="B91" s="27" t="str">
        <f>D61</f>
        <v>Yes</v>
      </c>
      <c r="C91" s="348"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been fully met with hydrologic condition method. Additional treatment of the 1 year storm is not required.</v>
      </c>
      <c r="D91" s="349"/>
      <c r="E91" s="349"/>
      <c r="F91" s="349"/>
      <c r="G91" s="350"/>
    </row>
    <row r="92" spans="1:15" s="49" customFormat="1" ht="31.2" customHeight="1" x14ac:dyDescent="0.3">
      <c r="A92" s="61" t="s">
        <v>81</v>
      </c>
      <c r="B92" s="62" t="str">
        <f>IF(D60&gt;0,D45-D59,"n/a")</f>
        <v>n/a</v>
      </c>
      <c r="C92" s="54" t="s">
        <v>90</v>
      </c>
      <c r="D92" s="31"/>
      <c r="E92" s="13"/>
      <c r="F92" s="63"/>
      <c r="G92" s="64"/>
    </row>
    <row r="93" spans="1:15" ht="34.799999999999997" customHeight="1" x14ac:dyDescent="0.3">
      <c r="A93" s="61" t="s">
        <v>92</v>
      </c>
      <c r="B93" s="125"/>
      <c r="C93" s="65" t="s">
        <v>94</v>
      </c>
      <c r="D93" s="304" t="s">
        <v>93</v>
      </c>
      <c r="E93" s="363" t="str">
        <f>IF(E89=1,"12 hours of extended detention","24 hours of extended detention")</f>
        <v>12 hours of extended detention</v>
      </c>
      <c r="F93" s="363"/>
      <c r="G93" s="60"/>
    </row>
    <row r="94" spans="1:15" ht="15" customHeight="1" x14ac:dyDescent="0.3">
      <c r="A94" s="381" t="str">
        <f>HYPERLINK("http://dec.vermont.gov/sites/dec/files/documents/wsmd_water_quality_standards_2016.pdf", "See the Vermont Water Quality Standards for warm and cold water designations")</f>
        <v>See the Vermont Water Quality Standards for warm and cold water designations</v>
      </c>
      <c r="B94" s="382"/>
      <c r="C94" s="382"/>
      <c r="D94" s="13"/>
      <c r="E94" s="358" t="s">
        <v>150</v>
      </c>
      <c r="F94" s="358"/>
      <c r="G94" s="179" t="b">
        <v>0</v>
      </c>
    </row>
    <row r="95" spans="1:15" ht="14.4" customHeight="1" x14ac:dyDescent="0.3">
      <c r="A95" s="381"/>
      <c r="B95" s="382"/>
      <c r="C95" s="382"/>
      <c r="D95" s="13"/>
      <c r="E95" s="359" t="s">
        <v>182</v>
      </c>
      <c r="F95" s="359"/>
      <c r="G95" s="360"/>
    </row>
    <row r="96" spans="1:15" x14ac:dyDescent="0.3">
      <c r="A96" s="299"/>
      <c r="B96" s="300"/>
      <c r="C96" s="13"/>
      <c r="D96" s="13"/>
      <c r="E96" s="359"/>
      <c r="F96" s="359"/>
      <c r="G96" s="360"/>
    </row>
    <row r="97" spans="1:7" x14ac:dyDescent="0.3">
      <c r="A97" s="66" t="s">
        <v>151</v>
      </c>
      <c r="B97" s="418"/>
      <c r="C97" s="419"/>
      <c r="D97" s="13"/>
      <c r="E97" s="183"/>
      <c r="F97" s="361" t="str">
        <f>IF(G94=TRUE,"detention time (hrs)","")</f>
        <v/>
      </c>
      <c r="G97" s="362"/>
    </row>
    <row r="98" spans="1:7" ht="11.4" customHeight="1" x14ac:dyDescent="0.3">
      <c r="A98" s="66"/>
      <c r="B98" s="55"/>
      <c r="C98" s="55"/>
      <c r="D98" s="13"/>
      <c r="E98" s="13"/>
      <c r="F98" s="13"/>
      <c r="G98" s="60"/>
    </row>
    <row r="99" spans="1:7" ht="45.6" customHeight="1" x14ac:dyDescent="0.3">
      <c r="A99" s="343" t="s">
        <v>210</v>
      </c>
      <c r="B99" s="344"/>
      <c r="C99" s="344"/>
      <c r="D99" s="344"/>
      <c r="E99" s="344"/>
      <c r="F99" s="344"/>
      <c r="G99" s="345"/>
    </row>
    <row r="100" spans="1:7" s="49" customFormat="1" ht="31.2" customHeight="1" x14ac:dyDescent="0.3">
      <c r="A100" s="59" t="s">
        <v>91</v>
      </c>
      <c r="B100" s="128" t="str">
        <f>D64</f>
        <v>n/a</v>
      </c>
      <c r="C100" s="383" t="s">
        <v>223</v>
      </c>
      <c r="D100" s="384"/>
      <c r="E100" s="129">
        <f>IF(E41=0,0,(F41^0.8)*(((1000/IF(B100&gt;95,95,IF(B100&lt;50,50,B100)))-9)^0.7)/(1140*E41^0.5)*60)</f>
        <v>0</v>
      </c>
      <c r="F100" s="73" t="s">
        <v>102</v>
      </c>
      <c r="G100" s="64"/>
    </row>
    <row r="101" spans="1:7" ht="49.2" customHeight="1" thickBot="1" x14ac:dyDescent="0.35">
      <c r="A101" s="222" t="s">
        <v>169</v>
      </c>
      <c r="B101" s="365"/>
      <c r="C101" s="366"/>
      <c r="D101" s="366"/>
      <c r="E101" s="366"/>
      <c r="F101" s="366"/>
      <c r="G101" s="367"/>
    </row>
    <row r="102" spans="1:7" ht="18" x14ac:dyDescent="0.4">
      <c r="A102" s="56" t="s">
        <v>97</v>
      </c>
      <c r="B102" s="57"/>
      <c r="C102" s="57"/>
      <c r="D102" s="57"/>
      <c r="E102" s="57"/>
      <c r="F102" s="178">
        <v>1</v>
      </c>
      <c r="G102" s="58"/>
    </row>
    <row r="103" spans="1:7" ht="29.4" customHeight="1" x14ac:dyDescent="0.3">
      <c r="A103" s="59" t="s">
        <v>77</v>
      </c>
      <c r="B103" s="127"/>
      <c r="C103" s="364" t="str">
        <f>IF(F102=1,"","Waiver (if No is selected):")</f>
        <v/>
      </c>
      <c r="D103" s="364"/>
      <c r="E103" s="380"/>
      <c r="F103" s="380"/>
      <c r="G103" s="60"/>
    </row>
    <row r="104" spans="1:7" ht="43.2" customHeight="1" x14ac:dyDescent="0.3">
      <c r="A104" s="59" t="s">
        <v>80</v>
      </c>
      <c r="B104" s="27" t="str">
        <f>E61</f>
        <v>Yes</v>
      </c>
      <c r="C104" s="348"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been fully met.  No additional STPs are required.</v>
      </c>
      <c r="D104" s="349"/>
      <c r="E104" s="349"/>
      <c r="F104" s="349"/>
      <c r="G104" s="350"/>
    </row>
    <row r="105" spans="1:7" x14ac:dyDescent="0.3">
      <c r="A105" s="68" t="s">
        <v>104</v>
      </c>
      <c r="B105" s="357"/>
      <c r="C105" s="357"/>
      <c r="D105" s="357"/>
      <c r="E105" s="357"/>
      <c r="F105" s="357"/>
      <c r="G105" s="60"/>
    </row>
    <row r="106" spans="1:7" x14ac:dyDescent="0.3">
      <c r="A106" s="14"/>
      <c r="B106" s="13"/>
      <c r="C106" s="20" t="s">
        <v>105</v>
      </c>
      <c r="D106" s="176"/>
      <c r="E106" s="13"/>
      <c r="F106" s="13"/>
      <c r="G106" s="60"/>
    </row>
    <row r="107" spans="1:7" x14ac:dyDescent="0.3">
      <c r="A107" s="14"/>
      <c r="B107" s="13"/>
      <c r="C107" s="20" t="s">
        <v>107</v>
      </c>
      <c r="D107" s="176"/>
      <c r="E107" s="13"/>
      <c r="F107" s="13"/>
      <c r="G107" s="60"/>
    </row>
    <row r="108" spans="1:7" x14ac:dyDescent="0.3">
      <c r="A108" s="14"/>
      <c r="B108" s="13"/>
      <c r="C108" s="20" t="s">
        <v>106</v>
      </c>
      <c r="D108" s="176"/>
      <c r="E108" s="13"/>
      <c r="F108" s="13"/>
      <c r="G108" s="60"/>
    </row>
    <row r="109" spans="1:7" x14ac:dyDescent="0.3">
      <c r="A109" s="14"/>
      <c r="B109" s="13"/>
      <c r="C109" s="20"/>
      <c r="D109" s="19"/>
      <c r="E109" s="13"/>
      <c r="F109" s="13"/>
      <c r="G109" s="60"/>
    </row>
    <row r="110" spans="1:7" ht="46.8" customHeight="1" x14ac:dyDescent="0.3">
      <c r="A110" s="343" t="s">
        <v>211</v>
      </c>
      <c r="B110" s="344"/>
      <c r="C110" s="344"/>
      <c r="D110" s="344"/>
      <c r="E110" s="344"/>
      <c r="F110" s="344"/>
      <c r="G110" s="345"/>
    </row>
    <row r="111" spans="1:7" ht="28.8" customHeight="1" x14ac:dyDescent="0.3">
      <c r="A111" s="194" t="s">
        <v>224</v>
      </c>
      <c r="B111" s="71" t="str">
        <f>E65</f>
        <v>n/a</v>
      </c>
      <c r="C111" s="420" t="s">
        <v>225</v>
      </c>
      <c r="D111" s="421"/>
      <c r="E111" s="72">
        <f>IF(E40=0,0,(F40^0.8)*(((1000/IF(B111&gt;95,95,IF(B111&lt;50,50,B111)))-9)^0.7)/(1140*E40^0.5)*60)</f>
        <v>0</v>
      </c>
      <c r="F111" s="346" t="s">
        <v>102</v>
      </c>
      <c r="G111" s="298"/>
    </row>
    <row r="112" spans="1:7" ht="28.8" customHeight="1" x14ac:dyDescent="0.3">
      <c r="A112" s="59" t="s">
        <v>91</v>
      </c>
      <c r="B112" s="71" t="str">
        <f>E64</f>
        <v>n/a</v>
      </c>
      <c r="C112" s="383" t="s">
        <v>223</v>
      </c>
      <c r="D112" s="384"/>
      <c r="E112" s="72">
        <f>IF(E41=0,0,(F41^0.8)*(((1000/IF(B112&gt;95,95,IF(B112&lt;50,50,B112)))-9)^0.7)/(1140*E41^0.5)*60)</f>
        <v>0</v>
      </c>
      <c r="F112" s="347"/>
      <c r="G112" s="64"/>
    </row>
    <row r="113" spans="1:7" ht="57.6" customHeight="1" thickBot="1" x14ac:dyDescent="0.35">
      <c r="A113" s="124" t="s">
        <v>170</v>
      </c>
      <c r="B113" s="365"/>
      <c r="C113" s="366"/>
      <c r="D113" s="366"/>
      <c r="E113" s="366"/>
      <c r="F113" s="366"/>
      <c r="G113" s="367"/>
    </row>
    <row r="114" spans="1:7" ht="18" x14ac:dyDescent="0.4">
      <c r="A114" s="56" t="s">
        <v>108</v>
      </c>
      <c r="B114" s="57"/>
      <c r="C114" s="57"/>
      <c r="D114" s="57"/>
      <c r="E114" s="57"/>
      <c r="F114" s="178">
        <v>1</v>
      </c>
      <c r="G114" s="58"/>
    </row>
    <row r="115" spans="1:7" ht="28.8" customHeight="1" x14ac:dyDescent="0.3">
      <c r="A115" s="59" t="s">
        <v>77</v>
      </c>
      <c r="B115" s="126"/>
      <c r="C115" s="364" t="str">
        <f>IF(F114=1,"","Waiver (if No is selected):")</f>
        <v/>
      </c>
      <c r="D115" s="364"/>
      <c r="E115" s="380"/>
      <c r="F115" s="380"/>
      <c r="G115" s="60"/>
    </row>
    <row r="116" spans="1:7" ht="43.2" customHeight="1" x14ac:dyDescent="0.3">
      <c r="A116" s="59" t="s">
        <v>80</v>
      </c>
      <c r="B116" s="27" t="str">
        <f>F61</f>
        <v>Yes</v>
      </c>
      <c r="C116" s="348"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flood standard has been fully met.  No additional STPs are required.</v>
      </c>
      <c r="D116" s="349"/>
      <c r="E116" s="349"/>
      <c r="F116" s="349"/>
      <c r="G116" s="350"/>
    </row>
    <row r="117" spans="1:7" x14ac:dyDescent="0.3">
      <c r="A117" s="68" t="s">
        <v>104</v>
      </c>
      <c r="B117" s="424"/>
      <c r="C117" s="424"/>
      <c r="D117" s="424"/>
      <c r="E117" s="424"/>
      <c r="F117" s="424"/>
      <c r="G117" s="60"/>
    </row>
    <row r="118" spans="1:7" x14ac:dyDescent="0.3">
      <c r="A118" s="14"/>
      <c r="B118" s="13"/>
      <c r="C118" s="20" t="s">
        <v>105</v>
      </c>
      <c r="D118" s="177"/>
      <c r="E118" s="13"/>
      <c r="F118" s="13"/>
      <c r="G118" s="60"/>
    </row>
    <row r="119" spans="1:7" x14ac:dyDescent="0.3">
      <c r="A119" s="14"/>
      <c r="B119" s="13"/>
      <c r="C119" s="20" t="s">
        <v>107</v>
      </c>
      <c r="D119" s="177"/>
      <c r="E119" s="13"/>
      <c r="F119" s="13"/>
      <c r="G119" s="60"/>
    </row>
    <row r="120" spans="1:7" x14ac:dyDescent="0.3">
      <c r="A120" s="14"/>
      <c r="B120" s="13"/>
      <c r="C120" s="20" t="s">
        <v>106</v>
      </c>
      <c r="D120" s="177"/>
      <c r="E120" s="13"/>
      <c r="F120" s="13"/>
      <c r="G120" s="60"/>
    </row>
    <row r="121" spans="1:7" x14ac:dyDescent="0.3">
      <c r="A121" s="14"/>
      <c r="B121" s="13"/>
      <c r="C121" s="13"/>
      <c r="D121" s="13"/>
      <c r="E121" s="13"/>
      <c r="F121" s="13"/>
      <c r="G121" s="60"/>
    </row>
    <row r="122" spans="1:7" ht="45.6" customHeight="1" x14ac:dyDescent="0.3">
      <c r="A122" s="343" t="s">
        <v>215</v>
      </c>
      <c r="B122" s="344"/>
      <c r="C122" s="344"/>
      <c r="D122" s="344"/>
      <c r="E122" s="344"/>
      <c r="F122" s="344"/>
      <c r="G122" s="345"/>
    </row>
    <row r="123" spans="1:7" ht="32.4" customHeight="1" x14ac:dyDescent="0.3">
      <c r="A123" s="194" t="s">
        <v>224</v>
      </c>
      <c r="B123" s="71" t="str">
        <f>F65</f>
        <v>n/a</v>
      </c>
      <c r="C123" s="420" t="s">
        <v>225</v>
      </c>
      <c r="D123" s="421"/>
      <c r="E123" s="72">
        <f>IF(E40=0,0,(F40^0.8)*(((1000/IF(B123&gt;95,95,IF(B123&lt;50,50,B123)))-9)^0.7)/(1140*E40^0.5)*60)</f>
        <v>0</v>
      </c>
      <c r="F123" s="422" t="s">
        <v>102</v>
      </c>
      <c r="G123" s="298"/>
    </row>
    <row r="124" spans="1:7" ht="28.8" customHeight="1" x14ac:dyDescent="0.3">
      <c r="A124" s="59" t="s">
        <v>91</v>
      </c>
      <c r="B124" s="71" t="str">
        <f>F64</f>
        <v>n/a</v>
      </c>
      <c r="C124" s="383" t="s">
        <v>223</v>
      </c>
      <c r="D124" s="384"/>
      <c r="E124" s="72">
        <f>IF(E41=0,0,(F41^0.8)*(((1000/IF(B124&gt;95,95,IF(B124&lt;50,50,B124)))-9)^0.7)/(1140*E41^0.5)*60)</f>
        <v>0</v>
      </c>
      <c r="F124" s="423"/>
      <c r="G124" s="64"/>
    </row>
    <row r="125" spans="1:7" ht="57.6" customHeight="1" thickBot="1" x14ac:dyDescent="0.35">
      <c r="A125" s="124" t="s">
        <v>171</v>
      </c>
      <c r="B125" s="365"/>
      <c r="C125" s="366"/>
      <c r="D125" s="366"/>
      <c r="E125" s="366"/>
      <c r="F125" s="366"/>
      <c r="G125" s="367"/>
    </row>
  </sheetData>
  <sheetProtection algorithmName="SHA-512" hashValue="8P24TXDWPemMX282kv+Sqzfx8ihnEutnWaMmLYlgSNGS13To7p3sZrDUGjnyTPDD9gBR75UUkXCUC30t4frlQw==" saltValue="ZRNLQnh/64LxmMNuTk7MLA==" spinCount="100000" sheet="1" objects="1" scenarios="1"/>
  <dataConsolidate/>
  <mergeCells count="67">
    <mergeCell ref="A38:G38"/>
    <mergeCell ref="D2:F2"/>
    <mergeCell ref="D3:F3"/>
    <mergeCell ref="D4:F4"/>
    <mergeCell ref="D5:F5"/>
    <mergeCell ref="D6:F6"/>
    <mergeCell ref="B8:D8"/>
    <mergeCell ref="A13:F13"/>
    <mergeCell ref="G14:G15"/>
    <mergeCell ref="A21:G21"/>
    <mergeCell ref="A22:F22"/>
    <mergeCell ref="B31:E31"/>
    <mergeCell ref="E68:F68"/>
    <mergeCell ref="A39:B41"/>
    <mergeCell ref="A44:C44"/>
    <mergeCell ref="A45:C45"/>
    <mergeCell ref="A48:G48"/>
    <mergeCell ref="C49:D49"/>
    <mergeCell ref="C50:D50"/>
    <mergeCell ref="C51:D51"/>
    <mergeCell ref="C52:D52"/>
    <mergeCell ref="C53:D53"/>
    <mergeCell ref="C54:D54"/>
    <mergeCell ref="C68:D68"/>
    <mergeCell ref="A87:G87"/>
    <mergeCell ref="C70:G70"/>
    <mergeCell ref="B71:G71"/>
    <mergeCell ref="C75:D75"/>
    <mergeCell ref="C76:D76"/>
    <mergeCell ref="C77:G77"/>
    <mergeCell ref="D78:E78"/>
    <mergeCell ref="A81:A84"/>
    <mergeCell ref="B81:D81"/>
    <mergeCell ref="B82:D82"/>
    <mergeCell ref="B83:D83"/>
    <mergeCell ref="B84:D84"/>
    <mergeCell ref="C103:D103"/>
    <mergeCell ref="E103:F103"/>
    <mergeCell ref="B88:G88"/>
    <mergeCell ref="C90:D90"/>
    <mergeCell ref="E90:F90"/>
    <mergeCell ref="C91:G91"/>
    <mergeCell ref="E93:F93"/>
    <mergeCell ref="A94:C95"/>
    <mergeCell ref="E94:F94"/>
    <mergeCell ref="E95:G96"/>
    <mergeCell ref="B97:C97"/>
    <mergeCell ref="F97:G97"/>
    <mergeCell ref="A99:G99"/>
    <mergeCell ref="C100:D100"/>
    <mergeCell ref="B101:G101"/>
    <mergeCell ref="C104:G104"/>
    <mergeCell ref="B105:F105"/>
    <mergeCell ref="A110:G110"/>
    <mergeCell ref="C111:D111"/>
    <mergeCell ref="F111:F112"/>
    <mergeCell ref="C112:D112"/>
    <mergeCell ref="C123:D123"/>
    <mergeCell ref="F123:F124"/>
    <mergeCell ref="C124:D124"/>
    <mergeCell ref="B125:G125"/>
    <mergeCell ref="B113:G113"/>
    <mergeCell ref="C115:D115"/>
    <mergeCell ref="E115:F115"/>
    <mergeCell ref="C116:G116"/>
    <mergeCell ref="B117:F117"/>
    <mergeCell ref="A122:G122"/>
  </mergeCells>
  <conditionalFormatting sqref="E68:F68">
    <cfRule type="expression" dxfId="73" priority="36">
      <formula>$F$67=2</formula>
    </cfRule>
  </conditionalFormatting>
  <conditionalFormatting sqref="E90:F90">
    <cfRule type="expression" dxfId="72" priority="35">
      <formula>$F$89=2</formula>
    </cfRule>
  </conditionalFormatting>
  <conditionalFormatting sqref="E103:F103">
    <cfRule type="expression" dxfId="71" priority="34">
      <formula>$F$102=2</formula>
    </cfRule>
  </conditionalFormatting>
  <conditionalFormatting sqref="E115:F115">
    <cfRule type="expression" dxfId="70" priority="33">
      <formula>$F$114=2</formula>
    </cfRule>
  </conditionalFormatting>
  <conditionalFormatting sqref="B105:F105 D108">
    <cfRule type="expression" dxfId="69" priority="32">
      <formula>$F$102=1</formula>
    </cfRule>
  </conditionalFormatting>
  <conditionalFormatting sqref="D106">
    <cfRule type="expression" dxfId="68" priority="31">
      <formula>$F$102=1</formula>
    </cfRule>
  </conditionalFormatting>
  <conditionalFormatting sqref="B117:F117 D120">
    <cfRule type="expression" dxfId="67" priority="30">
      <formula>$F$114=1</formula>
    </cfRule>
  </conditionalFormatting>
  <conditionalFormatting sqref="B82:D82 B83:B84 E82:E84">
    <cfRule type="expression" dxfId="66" priority="37">
      <formula>$F$79&gt;0</formula>
    </cfRule>
  </conditionalFormatting>
  <conditionalFormatting sqref="E97">
    <cfRule type="expression" dxfId="65" priority="29">
      <formula>$G$94=TRUE</formula>
    </cfRule>
  </conditionalFormatting>
  <conditionalFormatting sqref="D119">
    <cfRule type="expression" dxfId="64" priority="28">
      <formula>$F$114=1</formula>
    </cfRule>
  </conditionalFormatting>
  <conditionalFormatting sqref="D118">
    <cfRule type="expression" dxfId="63" priority="27">
      <formula>$F$114=1</formula>
    </cfRule>
  </conditionalFormatting>
  <conditionalFormatting sqref="D107">
    <cfRule type="expression" dxfId="62" priority="26">
      <formula>$F$102=1</formula>
    </cfRule>
  </conditionalFormatting>
  <conditionalFormatting sqref="C64">
    <cfRule type="expression" dxfId="61" priority="25">
      <formula>$C$64="n/a"</formula>
    </cfRule>
  </conditionalFormatting>
  <conditionalFormatting sqref="B82:E84">
    <cfRule type="expression" dxfId="60" priority="24">
      <formula>$F$79="N/A"</formula>
    </cfRule>
  </conditionalFormatting>
  <conditionalFormatting sqref="C61">
    <cfRule type="expression" dxfId="59" priority="21">
      <formula>C61="n/a"</formula>
    </cfRule>
    <cfRule type="expression" dxfId="58" priority="22">
      <formula>C61="No"</formula>
    </cfRule>
    <cfRule type="expression" dxfId="57" priority="23">
      <formula>C61="Yes"</formula>
    </cfRule>
  </conditionalFormatting>
  <conditionalFormatting sqref="B61">
    <cfRule type="expression" dxfId="56" priority="18">
      <formula>B61="n/a"</formula>
    </cfRule>
    <cfRule type="expression" dxfId="55" priority="19">
      <formula>B61="No"</formula>
    </cfRule>
    <cfRule type="expression" dxfId="54" priority="20">
      <formula>B61="Yes"</formula>
    </cfRule>
  </conditionalFormatting>
  <conditionalFormatting sqref="D61:F61">
    <cfRule type="expression" dxfId="53" priority="15">
      <formula>D61="n/a"</formula>
    </cfRule>
    <cfRule type="expression" dxfId="52" priority="16">
      <formula>D61="No"</formula>
    </cfRule>
    <cfRule type="expression" dxfId="51" priority="17">
      <formula>D61="Yes"</formula>
    </cfRule>
  </conditionalFormatting>
  <conditionalFormatting sqref="B70">
    <cfRule type="expression" dxfId="50" priority="12">
      <formula>B70="n/a"</formula>
    </cfRule>
    <cfRule type="expression" dxfId="49" priority="13">
      <formula>B70="No"</formula>
    </cfRule>
    <cfRule type="expression" dxfId="48" priority="14">
      <formula>B70="Yes"</formula>
    </cfRule>
  </conditionalFormatting>
  <conditionalFormatting sqref="B91">
    <cfRule type="expression" dxfId="47" priority="9">
      <formula>B91="n/a"</formula>
    </cfRule>
    <cfRule type="expression" dxfId="46" priority="10">
      <formula>B91="No"</formula>
    </cfRule>
    <cfRule type="expression" dxfId="45" priority="11">
      <formula>B91="Yes"</formula>
    </cfRule>
  </conditionalFormatting>
  <conditionalFormatting sqref="B104">
    <cfRule type="expression" dxfId="44" priority="6">
      <formula>B104="n/a"</formula>
    </cfRule>
    <cfRule type="expression" dxfId="43" priority="7">
      <formula>B104="No"</formula>
    </cfRule>
    <cfRule type="expression" dxfId="42" priority="8">
      <formula>B104="Yes"</formula>
    </cfRule>
  </conditionalFormatting>
  <conditionalFormatting sqref="B116">
    <cfRule type="expression" dxfId="41" priority="3">
      <formula>B116="n/a"</formula>
    </cfRule>
    <cfRule type="expression" dxfId="40" priority="4">
      <formula>B116="No"</formula>
    </cfRule>
    <cfRule type="expression" dxfId="39" priority="5">
      <formula>B116="Yes"</formula>
    </cfRule>
  </conditionalFormatting>
  <conditionalFormatting sqref="F75">
    <cfRule type="expression" dxfId="38" priority="2">
      <formula>$E$75&gt;=5%</formula>
    </cfRule>
  </conditionalFormatting>
  <conditionalFormatting sqref="F76">
    <cfRule type="expression" dxfId="37" priority="1">
      <formula>$E$76&gt;0</formula>
    </cfRule>
  </conditionalFormatting>
  <dataValidations count="2">
    <dataValidation type="decimal" allowBlank="1" showInputMessage="1" showErrorMessage="1" errorTitle="Invalid Longitude" error="You've entered a longitude outside of Vermont.  Longitude values in VT should always be negative." sqref="D6:F6" xr:uid="{FFD25158-B64C-4844-9BFC-C3433E26022A}">
      <formula1>-73.732</formula1>
      <formula2>-71.46</formula2>
    </dataValidation>
    <dataValidation type="decimal" allowBlank="1" showInputMessage="1" showErrorMessage="1" errorTitle="Invalid Latitude!" error="You've entered a latitude that is not in Vermont." sqref="D5:F5" xr:uid="{33CF3FEC-5B79-41BF-A1E4-0CEE9730B17B}">
      <formula1>42.72</formula1>
      <formula2>45.02</formula2>
    </dataValidation>
  </dataValidations>
  <hyperlinks>
    <hyperlink ref="E8" r:id="rId1" xr:uid="{213E6A4B-0947-4BF1-88CF-9F7CE2CBAEB8}"/>
  </hyperlinks>
  <pageMargins left="0.5" right="0.5" top="0.75" bottom="0.75" header="0.3" footer="0.3"/>
  <pageSetup orientation="portrait" r:id="rId2"/>
  <headerFooter>
    <oddHeader>&amp;C&amp;"-,Bold"&amp;14Vermont Operational Stormwater Permit - Standards Compliance Workbook</oddHeader>
    <oddFooter>&amp;LLast Updated 11/20/2017
&amp;R&amp;A: 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37217" r:id="rId5" name="Group Box 1">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37218" r:id="rId6" name="Option Button 2">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37219" r:id="rId7" name="Option Button 3">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37220" r:id="rId8" name="Group Box 4">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37221" r:id="rId9" name="Option Button 5">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37222" r:id="rId10" name="Option Button 6">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37223" r:id="rId11" name="Group Box 7">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37224" r:id="rId12" name="Option Button 8">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37225" r:id="rId13" name="Option Button 9">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37226" r:id="rId14" name="Group Box 10">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37227" r:id="rId15" name="Option Button 11">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37228" r:id="rId16" name="Option Button 12">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37229" r:id="rId17" name="Group Box 13">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37230" r:id="rId18" name="Option Button 14">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37231" r:id="rId19" name="Option Button 15">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37232" r:id="rId20" name="Check Box 16">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37233" r:id="rId21" name="Group Box 17">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37234" r:id="rId22" name="Option Button 18">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37235" r:id="rId23" name="Option Button 19">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37236" r:id="rId24" name="Group Box 20">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37237" r:id="rId25" name="Group Box 2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37238" r:id="rId26" name="Option Button 2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37239" r:id="rId27" name="Option Button 2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37240" r:id="rId28" name="Option Button 24">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37241" r:id="rId29" name="Option Button 25">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8EED0A83-F2E4-44C4-8F70-5CBBAB5E1A7A}">
          <x14:formula1>
            <xm:f>Lookup!$G$3:$G$6</xm:f>
          </x14:formula1>
          <xm:sqref>E68:F68</xm:sqref>
        </x14:dataValidation>
        <x14:dataValidation type="list" allowBlank="1" showInputMessage="1" showErrorMessage="1" xr:uid="{166D0765-44AD-4D49-A274-630E71971E44}">
          <x14:formula1>
            <xm:f>Lookup!$H$4:$H$7</xm:f>
          </x14:formula1>
          <xm:sqref>E90:F90</xm:sqref>
        </x14:dataValidation>
        <x14:dataValidation type="list" allowBlank="1" showInputMessage="1" showErrorMessage="1" xr:uid="{A2969ED7-84FF-44BB-90FC-3A9ECF9E1F9C}">
          <x14:formula1>
            <xm:f>Lookup!$I$4:$I$8</xm:f>
          </x14:formula1>
          <xm:sqref>E103:F103</xm:sqref>
        </x14:dataValidation>
        <x14:dataValidation type="list" allowBlank="1" showInputMessage="1" showErrorMessage="1" xr:uid="{A89D3240-509A-4926-AD46-680F704B1D3F}">
          <x14:formula1>
            <xm:f>Lookup!$J$4:$J$8</xm:f>
          </x14:formula1>
          <xm:sqref>E115:F115</xm:sqref>
        </x14:dataValidation>
        <x14:dataValidation type="list" allowBlank="1" showInputMessage="1" showErrorMessage="1" xr:uid="{92707323-AAEA-4B96-9A44-94723636F743}">
          <x14:formula1>
            <xm:f>Lookup!$H$13:$H$19</xm:f>
          </x14:formula1>
          <xm:sqref>C82:D82 B82:B84</xm:sqref>
        </x14:dataValidation>
        <x14:dataValidation type="list" allowBlank="1" showInputMessage="1" showErrorMessage="1" xr:uid="{810B624D-B608-4D72-A89D-64BF44F1F1D4}">
          <x14:formula1>
            <xm:f>Lookup!$G$12:$G$23</xm:f>
          </x14:formula1>
          <xm:sqref>A55</xm:sqref>
        </x14:dataValidation>
        <x14:dataValidation type="list" allowBlank="1" showInputMessage="1" showErrorMessage="1" xr:uid="{24653C11-D023-43F0-B43C-20EB26ADF4FA}">
          <x14:formula1>
            <xm:f>Lookup!$G$11:$G$23</xm:f>
          </x14:formula1>
          <xm:sqref>A50:A54 C50:D54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7E594-E6AD-4901-B482-DC85488DDD4A}">
  <dimension ref="A1:O125"/>
  <sheetViews>
    <sheetView view="pageLayout" zoomScaleNormal="100" workbookViewId="0">
      <selection activeCell="B79" sqref="B79"/>
    </sheetView>
  </sheetViews>
  <sheetFormatPr defaultRowHeight="14.4" x14ac:dyDescent="0.3"/>
  <cols>
    <col min="1" max="1" width="21.88671875" style="181" customWidth="1"/>
    <col min="2" max="6" width="12.21875" style="181" customWidth="1"/>
    <col min="7" max="7" width="7.21875" style="181" customWidth="1"/>
    <col min="8" max="8" width="8.88671875" style="181"/>
    <col min="9" max="9" width="8.6640625" style="181" customWidth="1"/>
    <col min="10" max="16384" width="8.88671875" style="181"/>
  </cols>
  <sheetData>
    <row r="1" spans="1:15" ht="18" x14ac:dyDescent="0.35">
      <c r="A1" s="96" t="s">
        <v>32</v>
      </c>
      <c r="B1" s="97"/>
      <c r="C1" s="97"/>
      <c r="D1" s="97"/>
      <c r="E1" s="97"/>
      <c r="F1" s="97"/>
      <c r="G1" s="98"/>
      <c r="H1" s="32"/>
      <c r="I1" s="21"/>
      <c r="J1" s="21"/>
    </row>
    <row r="2" spans="1:15" x14ac:dyDescent="0.3">
      <c r="A2" s="14"/>
      <c r="B2" s="13"/>
      <c r="C2" s="45" t="s">
        <v>29</v>
      </c>
      <c r="D2" s="411" t="str">
        <f>IF(Summary!C1="","",Summary!C1)</f>
        <v>East Street Industrial Park</v>
      </c>
      <c r="E2" s="411"/>
      <c r="F2" s="411"/>
      <c r="G2" s="99"/>
      <c r="H2" s="22"/>
      <c r="I2" s="22"/>
      <c r="J2" s="22"/>
    </row>
    <row r="3" spans="1:15" x14ac:dyDescent="0.3">
      <c r="A3" s="14"/>
      <c r="B3" s="13"/>
      <c r="C3" s="45" t="s">
        <v>30</v>
      </c>
      <c r="D3" s="427"/>
      <c r="E3" s="428"/>
      <c r="F3" s="429"/>
      <c r="G3" s="99"/>
      <c r="H3" s="22"/>
      <c r="I3" s="22"/>
      <c r="J3" s="22"/>
    </row>
    <row r="4" spans="1:15" x14ac:dyDescent="0.3">
      <c r="A4" s="14"/>
      <c r="B4" s="13"/>
      <c r="C4" s="45" t="s">
        <v>31</v>
      </c>
      <c r="D4" s="415"/>
      <c r="E4" s="416"/>
      <c r="F4" s="417"/>
      <c r="G4" s="99"/>
      <c r="H4" s="22"/>
      <c r="I4" s="22"/>
      <c r="J4" s="22"/>
    </row>
    <row r="5" spans="1:15" x14ac:dyDescent="0.3">
      <c r="A5" s="14"/>
      <c r="B5" s="13"/>
      <c r="C5" s="45" t="s">
        <v>172</v>
      </c>
      <c r="D5" s="430"/>
      <c r="E5" s="430"/>
      <c r="F5" s="430"/>
      <c r="G5" s="99"/>
      <c r="H5" s="22"/>
      <c r="I5" s="22"/>
      <c r="J5" s="22"/>
    </row>
    <row r="6" spans="1:15" ht="15.6" customHeight="1" x14ac:dyDescent="0.3">
      <c r="A6" s="14"/>
      <c r="B6" s="13"/>
      <c r="C6" s="46" t="s">
        <v>177</v>
      </c>
      <c r="D6" s="431"/>
      <c r="E6" s="432"/>
      <c r="F6" s="433"/>
      <c r="G6" s="99"/>
      <c r="H6" s="22"/>
      <c r="I6" s="22"/>
      <c r="J6" s="22"/>
    </row>
    <row r="7" spans="1:15" ht="9.6" customHeight="1" x14ac:dyDescent="0.3">
      <c r="A7" s="14"/>
      <c r="B7" s="13"/>
      <c r="C7" s="13"/>
      <c r="D7" s="13"/>
      <c r="E7" s="13"/>
      <c r="F7" s="15"/>
      <c r="G7" s="99"/>
      <c r="H7" s="22"/>
      <c r="I7" s="22"/>
      <c r="J7" s="22"/>
    </row>
    <row r="8" spans="1:15" ht="18" x14ac:dyDescent="0.35">
      <c r="A8" s="91" t="s">
        <v>53</v>
      </c>
      <c r="B8" s="434" t="s">
        <v>40</v>
      </c>
      <c r="C8" s="434"/>
      <c r="D8" s="434"/>
      <c r="E8" s="76" t="s">
        <v>41</v>
      </c>
      <c r="F8" s="13"/>
      <c r="G8" s="60"/>
      <c r="K8" s="23"/>
      <c r="L8" s="13"/>
      <c r="M8" s="13"/>
      <c r="N8" s="13"/>
      <c r="O8" s="13"/>
    </row>
    <row r="9" spans="1:15" x14ac:dyDescent="0.3">
      <c r="A9" s="130" t="s">
        <v>52</v>
      </c>
      <c r="B9" s="131" t="s">
        <v>54</v>
      </c>
      <c r="C9" s="132" t="s">
        <v>55</v>
      </c>
      <c r="D9" s="132" t="s">
        <v>56</v>
      </c>
      <c r="E9" s="132" t="s">
        <v>57</v>
      </c>
      <c r="F9" s="13"/>
      <c r="G9" s="60"/>
      <c r="K9" s="13"/>
      <c r="L9" s="13"/>
      <c r="M9" s="13"/>
      <c r="N9" s="13"/>
    </row>
    <row r="10" spans="1:15" x14ac:dyDescent="0.3">
      <c r="A10" s="61" t="s">
        <v>0</v>
      </c>
      <c r="B10" s="217">
        <v>1</v>
      </c>
      <c r="C10" s="218">
        <v>0</v>
      </c>
      <c r="D10" s="218">
        <v>0</v>
      </c>
      <c r="E10" s="218">
        <v>0</v>
      </c>
      <c r="F10" s="13"/>
      <c r="G10" s="60"/>
      <c r="K10" s="13"/>
      <c r="L10" s="13"/>
      <c r="M10" s="13"/>
      <c r="N10" s="13"/>
    </row>
    <row r="11" spans="1:15" ht="12.6" customHeight="1" thickBot="1" x14ac:dyDescent="0.35">
      <c r="A11" s="100"/>
      <c r="B11" s="101"/>
      <c r="C11" s="102"/>
      <c r="D11" s="102"/>
      <c r="E11" s="102"/>
      <c r="F11" s="102"/>
      <c r="G11" s="70"/>
      <c r="K11" s="13"/>
      <c r="L11" s="6"/>
      <c r="M11" s="13"/>
      <c r="N11" s="13"/>
      <c r="O11" s="13"/>
    </row>
    <row r="12" spans="1:15" ht="15.6" x14ac:dyDescent="0.3">
      <c r="A12" s="77" t="s">
        <v>82</v>
      </c>
      <c r="B12" s="94"/>
      <c r="C12" s="95"/>
      <c r="D12" s="95"/>
      <c r="E12" s="95"/>
      <c r="F12" s="95"/>
      <c r="G12" s="58"/>
      <c r="K12" s="13"/>
      <c r="L12" s="6"/>
      <c r="M12" s="13"/>
      <c r="N12" s="13"/>
      <c r="O12" s="13"/>
    </row>
    <row r="13" spans="1:15" ht="15.6" x14ac:dyDescent="0.3">
      <c r="A13" s="425" t="s">
        <v>58</v>
      </c>
      <c r="B13" s="426"/>
      <c r="C13" s="426"/>
      <c r="D13" s="426"/>
      <c r="E13" s="426"/>
      <c r="F13" s="426"/>
      <c r="G13" s="60"/>
      <c r="K13" s="13"/>
      <c r="L13" s="6"/>
      <c r="M13" s="13"/>
      <c r="N13" s="13"/>
      <c r="O13" s="13"/>
    </row>
    <row r="14" spans="1:15" x14ac:dyDescent="0.3">
      <c r="A14" s="243" t="s">
        <v>8</v>
      </c>
      <c r="B14" s="303" t="s">
        <v>2</v>
      </c>
      <c r="C14" s="303" t="s">
        <v>3</v>
      </c>
      <c r="D14" s="303" t="s">
        <v>4</v>
      </c>
      <c r="E14" s="303" t="s">
        <v>5</v>
      </c>
      <c r="F14" s="297" t="s">
        <v>13</v>
      </c>
      <c r="G14" s="385"/>
      <c r="H14" s="19"/>
      <c r="I14" s="19"/>
      <c r="J14" s="19"/>
      <c r="K14" s="13"/>
      <c r="L14" s="13"/>
      <c r="M14" s="13"/>
      <c r="N14" s="13"/>
      <c r="O14" s="13"/>
    </row>
    <row r="15" spans="1:15" ht="15.6" x14ac:dyDescent="0.3">
      <c r="A15" s="111" t="s">
        <v>6</v>
      </c>
      <c r="B15" s="216">
        <v>0</v>
      </c>
      <c r="C15" s="216">
        <v>0</v>
      </c>
      <c r="D15" s="216">
        <v>0</v>
      </c>
      <c r="E15" s="216">
        <v>0</v>
      </c>
      <c r="F15" s="133">
        <f t="shared" ref="F15:F18" si="0">SUM(B15:E15)</f>
        <v>0</v>
      </c>
      <c r="G15" s="385"/>
      <c r="H15" s="19"/>
      <c r="I15" s="19"/>
      <c r="J15" s="19"/>
      <c r="K15" s="10"/>
      <c r="L15" s="13"/>
      <c r="M15" s="13"/>
      <c r="N15" s="13"/>
      <c r="O15" s="13"/>
    </row>
    <row r="16" spans="1:15" x14ac:dyDescent="0.3">
      <c r="A16" s="111" t="s">
        <v>38</v>
      </c>
      <c r="B16" s="216">
        <v>0</v>
      </c>
      <c r="C16" s="216">
        <v>0</v>
      </c>
      <c r="D16" s="216">
        <v>0</v>
      </c>
      <c r="E16" s="216">
        <v>0</v>
      </c>
      <c r="F16" s="133">
        <f t="shared" si="0"/>
        <v>0</v>
      </c>
      <c r="G16" s="60"/>
      <c r="H16" s="1"/>
      <c r="I16" s="33"/>
      <c r="J16" s="33"/>
      <c r="K16" s="13"/>
      <c r="L16" s="22"/>
      <c r="M16" s="13"/>
      <c r="N16" s="13"/>
      <c r="O16" s="13"/>
    </row>
    <row r="17" spans="1:15" x14ac:dyDescent="0.3">
      <c r="A17" s="111" t="s">
        <v>7</v>
      </c>
      <c r="B17" s="216">
        <v>0</v>
      </c>
      <c r="C17" s="216">
        <v>0</v>
      </c>
      <c r="D17" s="216">
        <v>0</v>
      </c>
      <c r="E17" s="216">
        <v>0</v>
      </c>
      <c r="F17" s="133">
        <f t="shared" si="0"/>
        <v>0</v>
      </c>
      <c r="G17" s="60"/>
      <c r="H17" s="1"/>
      <c r="I17" s="33"/>
      <c r="J17" s="33"/>
      <c r="K17" s="13"/>
      <c r="L17" s="22"/>
      <c r="M17" s="13"/>
      <c r="N17" s="13"/>
      <c r="O17" s="13"/>
    </row>
    <row r="18" spans="1:15" x14ac:dyDescent="0.3">
      <c r="A18" s="224" t="s">
        <v>251</v>
      </c>
      <c r="B18" s="216">
        <v>0</v>
      </c>
      <c r="C18" s="216">
        <v>0</v>
      </c>
      <c r="D18" s="216">
        <v>0</v>
      </c>
      <c r="E18" s="216">
        <v>0</v>
      </c>
      <c r="F18" s="133">
        <f t="shared" si="0"/>
        <v>0</v>
      </c>
      <c r="G18" s="60"/>
      <c r="H18" s="19"/>
      <c r="I18" s="19"/>
      <c r="J18" s="34"/>
      <c r="K18" s="13"/>
      <c r="L18" s="22"/>
      <c r="M18" s="13"/>
      <c r="N18" s="13"/>
      <c r="O18" s="13"/>
    </row>
    <row r="19" spans="1:15" ht="13.8" customHeight="1" x14ac:dyDescent="0.3">
      <c r="A19" s="68"/>
      <c r="B19" s="255"/>
      <c r="C19" s="255"/>
      <c r="D19" s="271"/>
      <c r="E19" s="261" t="s">
        <v>249</v>
      </c>
      <c r="F19" s="274">
        <v>0</v>
      </c>
      <c r="G19" s="60"/>
      <c r="H19" s="19"/>
      <c r="I19" s="19"/>
      <c r="J19" s="34"/>
      <c r="K19" s="13"/>
      <c r="L19" s="6"/>
      <c r="M19" s="13"/>
      <c r="N19" s="13"/>
      <c r="O19" s="13"/>
    </row>
    <row r="20" spans="1:15" ht="13.8" customHeight="1" x14ac:dyDescent="0.3">
      <c r="A20" s="68"/>
      <c r="B20" s="255"/>
      <c r="C20" s="255"/>
      <c r="D20" s="255"/>
      <c r="E20" s="261" t="s">
        <v>250</v>
      </c>
      <c r="F20" s="272">
        <f>SUM(F15:F19)</f>
        <v>0</v>
      </c>
      <c r="G20" s="60"/>
      <c r="H20" s="19"/>
      <c r="I20" s="19"/>
      <c r="J20" s="34"/>
      <c r="K20" s="13"/>
      <c r="L20" s="6"/>
      <c r="M20" s="13"/>
      <c r="N20" s="13"/>
      <c r="O20" s="13"/>
    </row>
    <row r="21" spans="1:15" ht="28.2" customHeight="1" x14ac:dyDescent="0.3">
      <c r="A21" s="353" t="str">
        <f>IF(F18=0,IF(F28+F29+F30&gt;0,"Existing and/or redeveloped impervious has been defined in post development. User must define existing impervious in pre development.",""),"")</f>
        <v/>
      </c>
      <c r="B21" s="354"/>
      <c r="C21" s="354"/>
      <c r="D21" s="354"/>
      <c r="E21" s="354"/>
      <c r="F21" s="354"/>
      <c r="G21" s="355"/>
      <c r="H21" s="19"/>
      <c r="I21" s="19"/>
      <c r="J21" s="34"/>
      <c r="K21" s="13"/>
      <c r="L21" s="6"/>
      <c r="M21" s="13"/>
      <c r="N21" s="13"/>
      <c r="O21" s="13"/>
    </row>
    <row r="22" spans="1:15" ht="15.6" x14ac:dyDescent="0.3">
      <c r="A22" s="397" t="s">
        <v>123</v>
      </c>
      <c r="B22" s="398"/>
      <c r="C22" s="398"/>
      <c r="D22" s="398"/>
      <c r="E22" s="398"/>
      <c r="F22" s="398"/>
      <c r="G22" s="262" t="s">
        <v>246</v>
      </c>
      <c r="H22" s="19"/>
      <c r="I22" s="19"/>
      <c r="J22" s="34"/>
      <c r="K22" s="13"/>
      <c r="L22" s="6"/>
      <c r="M22" s="13"/>
      <c r="N22" s="13"/>
      <c r="O22" s="13"/>
    </row>
    <row r="23" spans="1:15" ht="13.8" customHeight="1" x14ac:dyDescent="0.3">
      <c r="A23" s="243" t="s">
        <v>8</v>
      </c>
      <c r="B23" s="303" t="s">
        <v>2</v>
      </c>
      <c r="C23" s="303" t="s">
        <v>3</v>
      </c>
      <c r="D23" s="303" t="s">
        <v>4</v>
      </c>
      <c r="E23" s="303" t="s">
        <v>5</v>
      </c>
      <c r="F23" s="297" t="s">
        <v>13</v>
      </c>
      <c r="G23" s="60"/>
      <c r="L23" s="6"/>
      <c r="M23" s="13"/>
      <c r="N23" s="13"/>
      <c r="O23" s="13"/>
    </row>
    <row r="24" spans="1:15" x14ac:dyDescent="0.3">
      <c r="A24" s="111" t="s">
        <v>6</v>
      </c>
      <c r="B24" s="216">
        <v>0</v>
      </c>
      <c r="C24" s="216">
        <v>0</v>
      </c>
      <c r="D24" s="216">
        <v>0</v>
      </c>
      <c r="E24" s="216">
        <v>0</v>
      </c>
      <c r="F24" s="133">
        <f>SUM(B24:E24)</f>
        <v>0</v>
      </c>
      <c r="G24" s="60"/>
      <c r="L24" s="13"/>
      <c r="M24" s="13"/>
      <c r="N24" s="13"/>
      <c r="O24" s="13"/>
    </row>
    <row r="25" spans="1:15" x14ac:dyDescent="0.3">
      <c r="A25" s="111" t="s">
        <v>38</v>
      </c>
      <c r="B25" s="216">
        <v>0</v>
      </c>
      <c r="C25" s="216">
        <v>0</v>
      </c>
      <c r="D25" s="216">
        <v>0</v>
      </c>
      <c r="E25" s="216">
        <v>0</v>
      </c>
      <c r="F25" s="133">
        <f>SUM(B25:E25)</f>
        <v>0</v>
      </c>
      <c r="G25" s="60"/>
      <c r="L25" s="13"/>
      <c r="M25" s="13"/>
      <c r="N25" s="13"/>
      <c r="O25" s="13"/>
    </row>
    <row r="26" spans="1:15" x14ac:dyDescent="0.3">
      <c r="A26" s="111" t="s">
        <v>7</v>
      </c>
      <c r="B26" s="216">
        <v>0</v>
      </c>
      <c r="C26" s="216">
        <v>0</v>
      </c>
      <c r="D26" s="216">
        <v>0</v>
      </c>
      <c r="E26" s="216">
        <v>0</v>
      </c>
      <c r="F26" s="133">
        <f>SUM(B26:E26)</f>
        <v>0</v>
      </c>
      <c r="G26" s="60"/>
      <c r="L26" s="6"/>
      <c r="M26" s="13"/>
      <c r="N26" s="13"/>
      <c r="O26" s="13"/>
    </row>
    <row r="27" spans="1:15" x14ac:dyDescent="0.3">
      <c r="A27" s="244" t="s">
        <v>243</v>
      </c>
      <c r="B27" s="256">
        <v>0</v>
      </c>
      <c r="C27" s="256">
        <v>0</v>
      </c>
      <c r="D27" s="256">
        <v>0</v>
      </c>
      <c r="E27" s="256">
        <v>0</v>
      </c>
      <c r="F27" s="257">
        <f>SUM(B27:E27)</f>
        <v>0</v>
      </c>
      <c r="G27" s="263">
        <f>IF(F32=0,0,F27/$F$32)</f>
        <v>0</v>
      </c>
      <c r="L27" s="6"/>
      <c r="M27" s="13"/>
      <c r="N27" s="13"/>
      <c r="O27" s="13"/>
    </row>
    <row r="28" spans="1:15" ht="43.2" x14ac:dyDescent="0.3">
      <c r="A28" s="254" t="s">
        <v>244</v>
      </c>
      <c r="B28" s="253">
        <v>0</v>
      </c>
      <c r="C28" s="253">
        <v>0</v>
      </c>
      <c r="D28" s="253">
        <v>0</v>
      </c>
      <c r="E28" s="253">
        <v>0</v>
      </c>
      <c r="F28" s="234">
        <f>SUM(B28:E28)</f>
        <v>0</v>
      </c>
      <c r="G28" s="264">
        <f>IF(F32=0,0,F28/$F$32)</f>
        <v>0</v>
      </c>
      <c r="L28" s="6"/>
      <c r="M28" s="13"/>
      <c r="N28" s="13"/>
      <c r="O28" s="13"/>
    </row>
    <row r="29" spans="1:15" x14ac:dyDescent="0.3">
      <c r="A29" s="254"/>
      <c r="B29" s="276"/>
      <c r="C29" s="276"/>
      <c r="D29" s="276"/>
      <c r="E29" s="277" t="s">
        <v>247</v>
      </c>
      <c r="F29" s="275">
        <v>0</v>
      </c>
      <c r="G29" s="263">
        <f>IF(F32=0,0,F29/$F$32)</f>
        <v>0</v>
      </c>
      <c r="L29" s="6"/>
      <c r="M29" s="13"/>
      <c r="N29" s="13"/>
      <c r="O29" s="13"/>
    </row>
    <row r="30" spans="1:15" x14ac:dyDescent="0.3">
      <c r="A30" s="14"/>
      <c r="B30" s="278"/>
      <c r="C30" s="278"/>
      <c r="D30" s="278"/>
      <c r="E30" s="279" t="s">
        <v>39</v>
      </c>
      <c r="F30" s="275">
        <v>0</v>
      </c>
      <c r="G30" s="263">
        <f>IF(F32=0,0,F30/$F$32)</f>
        <v>0</v>
      </c>
      <c r="H30" s="19"/>
      <c r="I30" s="19"/>
      <c r="J30" s="34"/>
      <c r="K30" s="13"/>
      <c r="L30" s="6"/>
      <c r="M30" s="13"/>
      <c r="N30" s="13"/>
      <c r="O30" s="13"/>
    </row>
    <row r="31" spans="1:15" x14ac:dyDescent="0.3">
      <c r="A31" s="14"/>
      <c r="B31" s="356" t="s">
        <v>248</v>
      </c>
      <c r="C31" s="356"/>
      <c r="D31" s="356"/>
      <c r="E31" s="356"/>
      <c r="F31" s="273">
        <f>F19</f>
        <v>0</v>
      </c>
      <c r="G31" s="263">
        <f>IF(F32=0,0,F31/$F$32)</f>
        <v>0</v>
      </c>
      <c r="H31" s="19"/>
      <c r="I31" s="19"/>
      <c r="J31" s="34"/>
      <c r="K31" s="13"/>
      <c r="L31" s="6"/>
      <c r="M31" s="13"/>
      <c r="N31" s="13"/>
      <c r="O31" s="13"/>
    </row>
    <row r="32" spans="1:15" x14ac:dyDescent="0.3">
      <c r="A32" s="14"/>
      <c r="B32" s="278"/>
      <c r="C32" s="278"/>
      <c r="D32" s="280"/>
      <c r="E32" s="281" t="s">
        <v>9</v>
      </c>
      <c r="F32" s="235">
        <f>SUM(F24:F31)</f>
        <v>0</v>
      </c>
      <c r="G32" s="60"/>
      <c r="H32" s="1"/>
      <c r="I32" s="33"/>
      <c r="J32" s="33"/>
      <c r="K32" s="13"/>
      <c r="L32" s="6"/>
      <c r="M32" s="13"/>
      <c r="N32" s="13"/>
      <c r="O32" s="13"/>
    </row>
    <row r="33" spans="1:15" ht="7.2" customHeight="1" x14ac:dyDescent="0.3">
      <c r="A33" s="14"/>
      <c r="B33" s="13"/>
      <c r="C33" s="13"/>
      <c r="D33" s="255"/>
      <c r="E33" s="145"/>
      <c r="F33" s="255"/>
      <c r="G33" s="60"/>
      <c r="H33" s="1"/>
      <c r="I33" s="33"/>
      <c r="J33" s="33"/>
      <c r="K33" s="13"/>
      <c r="L33" s="6"/>
      <c r="M33" s="13"/>
      <c r="N33" s="13"/>
      <c r="O33" s="13"/>
    </row>
    <row r="34" spans="1:15" x14ac:dyDescent="0.3">
      <c r="A34" s="14"/>
      <c r="B34" s="13"/>
      <c r="C34" s="13"/>
      <c r="D34" s="255"/>
      <c r="E34" s="260" t="s">
        <v>220</v>
      </c>
      <c r="F34" s="235">
        <f>F31+F30+F28+F27</f>
        <v>0</v>
      </c>
      <c r="G34" s="60"/>
      <c r="H34" s="1"/>
      <c r="I34" s="33"/>
      <c r="J34" s="33"/>
      <c r="K34" s="13"/>
      <c r="L34" s="6"/>
      <c r="M34" s="13"/>
      <c r="N34" s="13"/>
      <c r="O34" s="13"/>
    </row>
    <row r="35" spans="1:15" x14ac:dyDescent="0.3">
      <c r="A35" s="14"/>
      <c r="B35" s="13"/>
      <c r="C35" s="13"/>
      <c r="D35" s="255"/>
      <c r="E35" s="261" t="s">
        <v>202</v>
      </c>
      <c r="F35" s="259">
        <f>IF(F18-(F27+F28+F30+F29+F31)&lt;0,0,F18-(F27+F28+F30+F29+F31))</f>
        <v>0</v>
      </c>
      <c r="G35" s="263">
        <f>IF(F18=0,0,F35/F18)</f>
        <v>0</v>
      </c>
      <c r="H35" s="1"/>
      <c r="I35" s="33"/>
      <c r="J35" s="33"/>
      <c r="K35" s="13"/>
      <c r="L35" s="6"/>
      <c r="M35" s="13"/>
      <c r="N35" s="13"/>
      <c r="O35" s="13"/>
    </row>
    <row r="36" spans="1:15" x14ac:dyDescent="0.3">
      <c r="A36" s="14"/>
      <c r="B36" s="13"/>
      <c r="C36" s="13"/>
      <c r="D36" s="255"/>
      <c r="E36" s="261" t="s">
        <v>245</v>
      </c>
      <c r="F36" s="259">
        <f>IF((F18-F29-F28-F30)&lt;0,0,(F18-F29-F28-F30))</f>
        <v>0</v>
      </c>
      <c r="G36" s="263">
        <f>IF(F18-F28-F29=0,0,F36/(F18-F28-F29))</f>
        <v>0</v>
      </c>
      <c r="H36" s="1"/>
      <c r="I36" s="33"/>
      <c r="J36" s="33"/>
      <c r="K36" s="13"/>
      <c r="L36" s="6"/>
      <c r="M36" s="13"/>
      <c r="N36" s="13"/>
      <c r="O36" s="13"/>
    </row>
    <row r="37" spans="1:15" ht="7.2" customHeight="1" x14ac:dyDescent="0.3">
      <c r="A37" s="14"/>
      <c r="B37" s="13"/>
      <c r="C37" s="13"/>
      <c r="D37" s="255"/>
      <c r="E37" s="258"/>
      <c r="F37" s="19"/>
      <c r="G37" s="60"/>
      <c r="H37" s="1"/>
      <c r="I37" s="33"/>
      <c r="J37" s="33"/>
      <c r="K37" s="13"/>
      <c r="L37" s="6"/>
      <c r="M37" s="13"/>
      <c r="N37" s="13"/>
      <c r="O37" s="13"/>
    </row>
    <row r="38" spans="1:15" ht="30.6" customHeight="1" thickBot="1" x14ac:dyDescent="0.35">
      <c r="A38" s="402" t="str">
        <f>IF(F32=F20,"","WARNING: Pre development and post development areas don't match, so evaluation of the Hydrologic Condition Method is not appropriate within this drainage area. Designer may consider HCM across drainage areas.")</f>
        <v/>
      </c>
      <c r="B38" s="403"/>
      <c r="C38" s="403"/>
      <c r="D38" s="403"/>
      <c r="E38" s="403"/>
      <c r="F38" s="403"/>
      <c r="G38" s="404"/>
      <c r="H38" s="1"/>
      <c r="I38" s="33"/>
      <c r="J38" s="33"/>
      <c r="K38" s="13"/>
      <c r="L38" s="6"/>
      <c r="M38" s="13"/>
      <c r="N38" s="13"/>
      <c r="O38" s="13"/>
    </row>
    <row r="39" spans="1:15" ht="43.2" x14ac:dyDescent="0.3">
      <c r="A39" s="405" t="s">
        <v>242</v>
      </c>
      <c r="B39" s="406"/>
      <c r="C39" s="57"/>
      <c r="D39" s="236"/>
      <c r="E39" s="237" t="s">
        <v>219</v>
      </c>
      <c r="F39" s="238" t="s">
        <v>218</v>
      </c>
      <c r="G39" s="58"/>
      <c r="H39" s="1"/>
      <c r="I39" s="33"/>
      <c r="K39" s="13"/>
      <c r="L39" s="6"/>
      <c r="M39" s="13"/>
      <c r="N39" s="13"/>
      <c r="O39" s="13"/>
    </row>
    <row r="40" spans="1:15" ht="14.4" customHeight="1" x14ac:dyDescent="0.3">
      <c r="A40" s="407"/>
      <c r="B40" s="408"/>
      <c r="C40" s="13"/>
      <c r="D40" s="20" t="s">
        <v>216</v>
      </c>
      <c r="E40" s="198">
        <v>0</v>
      </c>
      <c r="F40" s="171">
        <v>0</v>
      </c>
      <c r="G40" s="60"/>
      <c r="H40" s="1"/>
      <c r="I40" s="33"/>
      <c r="J40" s="33"/>
      <c r="K40" s="13"/>
      <c r="L40" s="6"/>
      <c r="M40" s="13"/>
      <c r="N40" s="13"/>
      <c r="O40" s="13"/>
    </row>
    <row r="41" spans="1:15" ht="14.4" customHeight="1" x14ac:dyDescent="0.3">
      <c r="A41" s="407"/>
      <c r="B41" s="408"/>
      <c r="C41" s="13"/>
      <c r="D41" s="20" t="s">
        <v>217</v>
      </c>
      <c r="E41" s="198">
        <v>0</v>
      </c>
      <c r="F41" s="171">
        <v>0</v>
      </c>
      <c r="G41" s="60"/>
      <c r="H41" s="1"/>
      <c r="I41" s="33"/>
      <c r="J41" s="33"/>
      <c r="K41" s="13"/>
      <c r="L41" s="6"/>
      <c r="M41" s="13"/>
      <c r="N41" s="13"/>
      <c r="O41" s="13"/>
    </row>
    <row r="42" spans="1:15" ht="7.2" customHeight="1" thickBot="1" x14ac:dyDescent="0.35">
      <c r="A42" s="16"/>
      <c r="B42" s="92"/>
      <c r="C42" s="192"/>
      <c r="D42" s="192"/>
      <c r="E42" s="192"/>
      <c r="F42" s="193"/>
      <c r="G42" s="70"/>
      <c r="H42" s="1"/>
      <c r="I42" s="33"/>
      <c r="J42" s="33"/>
      <c r="K42" s="13"/>
      <c r="L42" s="6"/>
      <c r="M42" s="13"/>
      <c r="N42" s="13"/>
      <c r="O42" s="13"/>
    </row>
    <row r="43" spans="1:15" ht="14.4" customHeight="1" x14ac:dyDescent="0.35">
      <c r="A43" s="56" t="s">
        <v>59</v>
      </c>
      <c r="B43" s="240"/>
      <c r="C43" s="57"/>
      <c r="D43" s="123" t="s">
        <v>60</v>
      </c>
      <c r="E43" s="123" t="s">
        <v>61</v>
      </c>
      <c r="F43" s="123" t="s">
        <v>62</v>
      </c>
      <c r="G43" s="58"/>
      <c r="K43" s="10"/>
      <c r="L43" s="13"/>
      <c r="M43" s="13"/>
      <c r="N43" s="13"/>
      <c r="O43" s="13"/>
    </row>
    <row r="44" spans="1:15" ht="14.4" customHeight="1" x14ac:dyDescent="0.3">
      <c r="A44" s="399" t="s">
        <v>112</v>
      </c>
      <c r="B44" s="386"/>
      <c r="C44" s="400"/>
      <c r="D44" s="265">
        <f>(IF($C$10&lt;0.2*Lookup!$B$13,0,(('SN9'!$C$10-0.2*Lookup!$B$13)^2/('SN9'!$C$10+0.8*Lookup!$B$13)))*$B$15+IF($C$10&lt;0.2*Lookup!$B$14,0,(('SN9'!$C$10-0.2*Lookup!$B$14)^2/('SN9'!$C$10+0.8*Lookup!$B$14)))*$B$16+IF($C$10&lt;0.2*Lookup!$B$15,0,(('SN9'!$C$10-0.2*Lookup!$B$15)^2/('SN9'!$C$10+0.8*Lookup!$B$15)))*$B$17++IF($C$10&lt;0.2*Lookup!$B$17,0,(('SN9'!$C$10-0.2*Lookup!$B$17)^2/('SN9'!$C$10+0.8*Lookup!$B$17)))*$B$18+IF($C$10&lt;0.2*Lookup!$C$13,0,(('SN9'!$C$10-0.2*Lookup!$C$13)^2/('SN9'!C$10+0.8*Lookup!$C$13)))*$C$15+IF($C$10&lt;0.2*Lookup!$C$14,0,(('SN9'!$C$10-0.2*Lookup!$C$14)^2/('SN9'!$C$10+0.8*Lookup!$C$14)))*$C$16+IF($C$10&lt;0.2*Lookup!$C$15,0,(('SN9'!$C$10-0.2*Lookup!$C$15)^2/('SN9'!$C$10+0.8*Lookup!$C$15)))*$C$17+IF($C$10&lt;0.2*Lookup!$C$17,0,(('SN9'!$C$10-0.2*Lookup!$C$17)^2/('SN9'!$C$10+0.8*Lookup!$C$17)))*$C$18+IF($C$10&lt;0.2*Lookup!$D$13,0,(('SN9'!$C$10-0.2*Lookup!$D$13)^2/('SN9'!$C$10+0.8*Lookup!$D$13)))*$D$15+IF($C$10&lt;0.2*Lookup!$D$14,0,(('SN9'!$C$10-0.2*Lookup!$D$14)^2/('SN9'!$C$10+0.8*Lookup!$D$14)))*$D$16+IF($C$10&lt;0.2*Lookup!$D$15,0,(('SN9'!$C$10-0.2*Lookup!$D$15)^2/('SN9'!$C$10+0.8*Lookup!$D$15)))*$D$17+IF($C$10&lt;0.2*Lookup!$D$17,0,(('SN9'!$C$10-0.2*Lookup!$D$17)^2/('SN9'!$C$10+0.8*Lookup!$D$17)))*$D$18+IF($C$10&lt;0.2*Lookup!$E$13,0,(('SN9'!$C$10-0.2*Lookup!$E$13)^2/('SN9'!$C$10+0.8*Lookup!$E$13)))*$E$15+IF($C$10&lt;0.2*Lookup!$E$14,0,(('SN9'!$C$10-0.2*Lookup!$E$14)^2/('SN9'!$C$10+0.8*Lookup!$E$14)))*$E$16+IF($C$10&lt;0.2*Lookup!$E$15,0,(('SN9'!$C$10-0.2*Lookup!$E$15)^2/('SN9'!$C$10+0.8*Lookup!$E$15)))*$E$17+IF($C$10&lt;0.2*Lookup!$E$17,0,(('SN9'!$C$10-0.2*Lookup!$E$17)^2/('SN9'!$C$10+0.8*Lookup!$E$17)))*$E$18)/12</f>
        <v>0</v>
      </c>
      <c r="E44" s="265">
        <f>(IF($D$10&lt;0.2*Lookup!$B$13,0,(('SN9'!$D$10-0.2*Lookup!$B$13)^2/('SN9'!$D$10+0.8*Lookup!$B$13)))*$B$15+IF($D$10&lt;0.2*Lookup!$B$14,0,(('SN9'!$D$10-0.2*Lookup!$B$14)^2/('SN9'!$D$10+0.8*Lookup!$B$14)))*$B$16+IF($D$10&lt;0.2*Lookup!$B$15,0,(('SN9'!$D$10-0.2*Lookup!$B$15)^2/('SN9'!$D$10+0.8*Lookup!$B$15)))*$B$17++IF($D$10&lt;0.2*Lookup!$B$17,0,(('SN9'!$D$10-0.2*Lookup!$B$17)^2/('SN9'!$D$10+0.8*Lookup!$B$17)))*$B$18+IF($D$10&lt;0.2*Lookup!$C$13,0,(('SN9'!$D$10-0.2*Lookup!$C$13)^2/('SN9'!C$10+0.8*Lookup!$C$13)))*$C$15+IF($D$10&lt;0.2*Lookup!$C$14,0,(('SN9'!$D$10-0.2*Lookup!$C$14)^2/('SN9'!$D$10+0.8*Lookup!$C$14)))*$C$16+IF($D$10&lt;0.2*Lookup!$C$15,0,(('SN9'!$D$10-0.2*Lookup!$C$15)^2/('SN9'!$D$10+0.8*Lookup!$C$15)))*$C$17+IF($D$10&lt;0.2*Lookup!$C$17,0,(('SN9'!$D$10-0.2*Lookup!$C$17)^2/('SN9'!$D$10+0.8*Lookup!$C$17)))*$C$18+IF($D$10&lt;0.2*Lookup!$D$13,0,(('SN9'!$D$10-0.2*Lookup!$D$13)^2/('SN9'!$D$10+0.8*Lookup!$D$13)))*$D$15+IF($D$10&lt;0.2*Lookup!$D$14,0,(('SN9'!$D$10-0.2*Lookup!$D$14)^2/('SN9'!$D$10+0.8*Lookup!$D$14)))*$D$16+IF($D$10&lt;0.2*Lookup!$D$15,0,(('SN9'!$D$10-0.2*Lookup!$D$15)^2/('SN9'!$D$10+0.8*Lookup!$D$15)))*$D$17+IF($D$10&lt;0.2*Lookup!$D$17,0,(('SN9'!$D$10-0.2*Lookup!$D$17)^2/('SN9'!$D$10+0.8*Lookup!$D$17)))*$D$18+IF($D$10&lt;0.2*Lookup!$E$13,0,(('SN9'!$D$10-0.2*Lookup!$E$13)^2/('SN9'!$D$10+0.8*Lookup!$E$13)))*$E$15+IF($D$10&lt;0.2*Lookup!$E$14,0,(('SN9'!$D$10-0.2*Lookup!$E$14)^2/('SN9'!$D$10+0.8*Lookup!$E$14)))*$E$16+IF($D$10&lt;0.2*Lookup!$E$15,0,(('SN9'!$D$10-0.2*Lookup!$E$15)^2/('SN9'!$D$10+0.8*Lookup!$E$15)))*$E$17++IF($D$10&lt;0.2*Lookup!$E$17,0,(('SN9'!$D$10-0.2*Lookup!$E$17)^2/('SN9'!$D$10+0.8*Lookup!$E$17)))*$E$18)/12</f>
        <v>0</v>
      </c>
      <c r="F44" s="265">
        <f>(IF($E$10&lt;0.2*Lookup!$B$13,0,(('SN9'!$E$10-0.2*Lookup!$B$13)^2/('SN9'!$E$10+0.8*Lookup!$B$13)))*$B$15+IF($E$10&lt;0.2*Lookup!$B$14,0,(('SN9'!$E$10-0.2*Lookup!$B$14)^2/('SN9'!$E$10+0.8*Lookup!$B$14)))*$B$16+IF($E$10&lt;0.2*Lookup!$B$15,0,(('SN9'!$E$10-0.2*Lookup!$B$15)^2/('SN9'!$E$10+0.8*Lookup!$B$15)))*$B$17++IF($E$10&lt;0.2*Lookup!$B$17,0,(('SN9'!$E$10-0.2*Lookup!$B$17)^2/('SN9'!$E$10+0.8*Lookup!$B$17)))*$B$18+IF($E$10&lt;0.2*Lookup!$C$13,0,(('SN9'!$E$10-0.2*Lookup!$C$13)^2/('SN9'!C$10+0.8*Lookup!$C$13)))*$C$15+IF($E$10&lt;0.2*Lookup!$C$14,0,(('SN9'!$E$10-0.2*Lookup!$C$14)^2/('SN9'!$E$10+0.8*Lookup!$C$14)))*$C$16+IF($E$10&lt;0.2*Lookup!$C$15,0,(('SN9'!$E$10-0.2*Lookup!$C$15)^2/('SN9'!$E$10+0.8*Lookup!$C$15)))*$C$17+IF($E$10&lt;0.2*Lookup!$C$17,0,(('SN9'!$E$10-0.2*Lookup!$C$17)^2/('SN9'!$E$10+0.8*Lookup!$C$17)))*$C$18+IF($E$10&lt;0.2*Lookup!$D$13,0,(('SN9'!$E$10-0.2*Lookup!$D$13)^2/('SN9'!$E$10+0.8*Lookup!$D$13)))*$D$15+IF($E$10&lt;0.2*Lookup!$D$14,0,(('SN9'!$E$10-0.2*Lookup!$D$14)^2/('SN9'!$E$10+0.8*Lookup!$D$14)))*$D$16+IF($E$10&lt;0.2*Lookup!$D$15,0,(('SN9'!$E$10-0.2*Lookup!$D$15)^2/('SN9'!$E$10+0.8*Lookup!$D$15)))*$D$17+IF($E$10&lt;0.2*Lookup!$D$17,0,(('SN9'!$E$10-0.2*Lookup!$D$17)^2/('SN9'!$E$10+0.8*Lookup!$D$17)))*$D$18+IF($E$10&lt;0.2*Lookup!$E$13,0,(('SN9'!$E$10-0.2*Lookup!$E$13)^2/('SN9'!$E$10+0.8*Lookup!$E$13)))*$E$15+IF($E$10&lt;0.2*Lookup!$E$14,0,(('SN9'!$E$10-0.2*Lookup!$E$14)^2/('SN9'!$E$10+0.8*Lookup!$E$14)))*$E$16+IF($E$10&lt;0.2*Lookup!$E$15,0,(('SN9'!$E$10-0.2*Lookup!$E$15)^2/('SN9'!$E$10+0.8*Lookup!$E$15)))*$E$17++IF($E$10&lt;0.2*Lookup!$E$17,0,(('SN9'!$E$10-0.2*Lookup!$E$17)^2/('SN9'!$E$10+0.8*Lookup!$E$17)))*$E$18)/12</f>
        <v>0</v>
      </c>
      <c r="G44" s="60"/>
      <c r="K44" s="13"/>
      <c r="L44" s="6"/>
      <c r="M44" s="13"/>
      <c r="N44" s="13"/>
      <c r="O44" s="13"/>
    </row>
    <row r="45" spans="1:15" ht="14.4" customHeight="1" x14ac:dyDescent="0.3">
      <c r="A45" s="399" t="s">
        <v>113</v>
      </c>
      <c r="B45" s="386"/>
      <c r="C45" s="400"/>
      <c r="D45" s="265">
        <f>(IF($C$10&lt;0.2*Lookup!$B$13,0,(('SN9'!$C$10-0.2*Lookup!$B$13)^2/('SN9'!$C$10+0.8*Lookup!$B$13)))*$B$24+IF($C$10&lt;0.2*Lookup!$B$14,0,(('SN9'!$C$10-0.2*Lookup!$B$14)^2/('SN9'!$C$10+0.8*Lookup!$B$14)))*$B$25+IF($C$10&lt;0.2*Lookup!$B$15,0,(('SN9'!$C$10-0.2*Lookup!$B$15)^2/('SN9'!$C$10+0.8*Lookup!$B$15)))*$B$26+IF($C$10&lt;0.2*Lookup!$C$13,0,(('SN9'!$C$10-0.2*Lookup!$C$13)^2/('SN9'!C$10+0.8*Lookup!$C$13)))*$C$24+IF($C$10&lt;0.2*Lookup!$C$14,0,(('SN9'!$C$10-0.2*Lookup!$C$14)^2/('SN9'!$C$10+0.8*Lookup!$C$14)))*$C$25+IF($C$10&lt;0.2*Lookup!$C$15,0,(('SN9'!$C$10-0.2*Lookup!$C$15)^2/('SN9'!$C$10+0.8*Lookup!$C$15)))*$C$26+IF($C$10&lt;0.2*Lookup!$D$13,0,(('SN9'!$C$10-0.2*Lookup!$D$13)^2/('SN9'!$C$10+0.8*Lookup!$D$13)))*$D$24+IF($C$10&lt;0.2*Lookup!$D$14,0,(('SN9'!$C$10-0.2*Lookup!$D$14)^2/('SN9'!$C$10+0.8*Lookup!$D$14)))*$D$25+IF($C$10&lt;0.2*Lookup!$D$15,0,(('SN9'!$C$10-0.2*Lookup!$D$15)^2/('SN9'!$C$10+0.8*Lookup!$D$15)))*$D$26+IF($C$10&lt;0.2*Lookup!$E$13,0,(('SN9'!$C$10-0.2*Lookup!$E$13)^2/('SN9'!$C$10+0.8*Lookup!$E$13)))*$E$24+IF($C$10&lt;0.2*Lookup!$E$14,0,(('SN9'!$C$10-0.2*Lookup!$E$14)^2/('SN9'!$C$10+0.8*Lookup!$E$14)))*$E$25+IF($C$10&lt;0.2*Lookup!$E$15,0,(('SN9'!$C$10-0.2*Lookup!$E$15)^2/('SN9'!$C$10+0.8*Lookup!$E$15)))*$E$26+(($C$10-0.2*Lookup!B17)^2/($C$10+0.8*Lookup!B17)*(F27+F28+F29+F30)))/12</f>
        <v>0</v>
      </c>
      <c r="E45" s="265">
        <f>(IF($D$10&lt;0.2*Lookup!$B$13,0,(('SN9'!$D$10-0.2*Lookup!$B$13)^2/('SN9'!$D$10+0.8*Lookup!$B$13)))*$B$24+IF($D$10&lt;0.2*Lookup!$B$14,0,(('SN9'!$D$10-0.2*Lookup!$B$14)^2/('SN9'!$D$10+0.8*Lookup!$B$14)))*$B$25+IF($D$10&lt;0.2*Lookup!$B$15,0,(('SN9'!$D$10-0.2*Lookup!$B$15)^2/('SN9'!$D$10+0.8*Lookup!$B$15)))*$B$26+IF($D$10&lt;0.2*Lookup!$C$13,0,(('SN9'!$D$10-0.2*Lookup!$C$13)^2/('SN9'!C$10+0.8*Lookup!$C$13)))*$C$24+IF($D$10&lt;0.2*Lookup!$C$14,0,(('SN9'!$D$10-0.2*Lookup!$C$14)^2/('SN9'!$D$10+0.8*Lookup!$C$14)))*$C$25+IF($D$10&lt;0.2*Lookup!$C$15,0,(('SN9'!$D$10-0.2*Lookup!$C$15)^2/('SN9'!$D$10+0.8*Lookup!$C$15)))*$C$26+IF($D$10&lt;0.2*Lookup!$D$13,0,(('SN9'!$D$10-0.2*Lookup!$D$13)^2/('SN9'!$D$10+0.8*Lookup!$D$13)))*$D$24+IF($D$10&lt;0.2*Lookup!$D$14,0,(('SN9'!$D$10-0.2*Lookup!$D$14)^2/('SN9'!$D$10+0.8*Lookup!$D$14)))*$D$25+IF($D$10&lt;0.2*Lookup!$D$15,0,(('SN9'!$D$10-0.2*Lookup!$D$15)^2/('SN9'!$D$10+0.8*Lookup!$D$15)))*$D$26+IF($D$10&lt;0.2*Lookup!$E$13,0,(('SN9'!$D$10-0.2*Lookup!$E$13)^2/('SN9'!$D$10+0.8*Lookup!$E$13)))*$E$24+IF($D$10&lt;0.2*Lookup!$E$14,0,(('SN9'!$D$10-0.2*Lookup!$E$14)^2/('SN9'!$D$10+0.8*Lookup!$E$14)))*$E$25+IF($D$10&lt;0.2*Lookup!$E$15,0,(('SN9'!$D$10-0.2*Lookup!$E$15)^2/('SN9'!$D$10+0.8*Lookup!$E$15)))*$E$26+(($D$10-0.2*Lookup!B17)^2/($D$10+0.8*Lookup!B17)*(F27+F28+F29+F30)))/12</f>
        <v>0</v>
      </c>
      <c r="F45" s="265">
        <f>(IF($E$10&lt;0.2*Lookup!$B$13,0,(('SN9'!$E$10-0.2*Lookup!$B$13)^2/('SN9'!$E$10+0.8*Lookup!$B$13)))*$B$24+IF($E$10&lt;0.2*Lookup!$B$14,0,(('SN9'!$E$10-0.2*Lookup!$B$14)^2/('SN9'!$E$10+0.8*Lookup!$B$14)))*$B$25+IF($E$10&lt;0.2*Lookup!$B$15,0,(('SN9'!$E$10-0.2*Lookup!$B$15)^2/('SN9'!$E$10+0.8*Lookup!$B$15)))*$B$26+IF($E$10&lt;0.2*Lookup!$C$13,0,(('SN9'!$E$10-0.2*Lookup!$C$13)^2/('SN9'!C$10+0.8*Lookup!$C$13)))*$C$24+IF($E$10&lt;0.2*Lookup!$C$14,0,(('SN9'!$E$10-0.2*Lookup!$C$14)^2/('SN9'!$E$10+0.8*Lookup!$C$14)))*$C$25+IF($E$10&lt;0.2*Lookup!$C$15,0,(('SN9'!$E$10-0.2*Lookup!$C$15)^2/('SN9'!$E$10+0.8*Lookup!$C$15)))*$C$26+IF($E$10&lt;0.2*Lookup!$D$13,0,(('SN9'!$E$10-0.2*Lookup!$D$13)^2/('SN9'!$E$10+0.8*Lookup!$D$13)))*$D$24+IF($E$10&lt;0.2*Lookup!$D$14,0,(('SN9'!$E$10-0.2*Lookup!$D$14)^2/('SN9'!$E$10+0.8*Lookup!$D$14)))*$D$25+IF($E$10&lt;0.2*Lookup!$D$15,0,(('SN9'!$E$10-0.2*Lookup!$D$15)^2/('SN9'!$E$10+0.8*Lookup!$D$15)))*$D$26+IF($E$10&lt;0.2*Lookup!$E$13,0,(('SN9'!$E$10-0.2*Lookup!$E$13)^2/('SN9'!$E$10+0.8*Lookup!$E$13)))*$E$24+IF($E$10&lt;0.2*Lookup!$E$14,0,(('SN9'!$E$10-0.2*Lookup!$E$14)^2/('SN9'!$E$10+0.8*Lookup!$E$14)))*$E$25+IF($E$10&lt;0.2*Lookup!$E$15,0,(('SN9'!$E$10-0.2*Lookup!$E$15)^2/('SN9'!$E$10+0.8*Lookup!$E$15)))*$E$26+(($E$10-0.2*Lookup!B17)^2/($E$10+0.8*Lookup!B17)*(F27+F28+F29+F30)))/12</f>
        <v>0</v>
      </c>
      <c r="G45" s="60"/>
      <c r="K45" s="13"/>
      <c r="L45" s="6"/>
      <c r="M45" s="13"/>
      <c r="N45" s="13"/>
      <c r="O45" s="13"/>
    </row>
    <row r="46" spans="1:15" ht="15.6" customHeight="1" thickBot="1" x14ac:dyDescent="0.35">
      <c r="A46" s="16"/>
      <c r="B46" s="89"/>
      <c r="C46" s="92"/>
      <c r="D46" s="93"/>
      <c r="E46" s="89"/>
      <c r="F46" s="89"/>
      <c r="G46" s="70"/>
      <c r="K46" s="13"/>
      <c r="L46" s="6"/>
      <c r="M46" s="13"/>
      <c r="N46" s="13"/>
      <c r="O46" s="13"/>
    </row>
    <row r="47" spans="1:15" ht="15.6" x14ac:dyDescent="0.3">
      <c r="A47" s="56" t="s">
        <v>64</v>
      </c>
      <c r="B47" s="85"/>
      <c r="C47" s="86"/>
      <c r="D47" s="87"/>
      <c r="E47" s="85"/>
      <c r="F47" s="85"/>
      <c r="G47" s="58"/>
      <c r="K47" s="13"/>
      <c r="L47" s="6"/>
      <c r="M47" s="13"/>
      <c r="N47" s="13"/>
      <c r="O47" s="13"/>
    </row>
    <row r="48" spans="1:15" ht="44.4" customHeight="1" x14ac:dyDescent="0.3">
      <c r="A48" s="394" t="s">
        <v>214</v>
      </c>
      <c r="B48" s="395"/>
      <c r="C48" s="395"/>
      <c r="D48" s="395"/>
      <c r="E48" s="395"/>
      <c r="F48" s="395"/>
      <c r="G48" s="396"/>
      <c r="K48" s="13"/>
      <c r="L48" s="6"/>
      <c r="M48" s="13"/>
      <c r="N48" s="13"/>
      <c r="O48" s="13"/>
    </row>
    <row r="49" spans="1:15" ht="15.6" x14ac:dyDescent="0.35">
      <c r="A49" s="88" t="s">
        <v>71</v>
      </c>
      <c r="B49" s="117" t="s">
        <v>166</v>
      </c>
      <c r="C49" s="409" t="s">
        <v>71</v>
      </c>
      <c r="D49" s="410"/>
      <c r="E49" s="42" t="s">
        <v>166</v>
      </c>
      <c r="F49" s="19"/>
      <c r="G49" s="60"/>
      <c r="K49" s="13"/>
      <c r="L49" s="6"/>
      <c r="M49" s="13"/>
      <c r="N49" s="13"/>
      <c r="O49" s="13"/>
    </row>
    <row r="50" spans="1:15" x14ac:dyDescent="0.3">
      <c r="A50" s="195"/>
      <c r="B50" s="172"/>
      <c r="C50" s="351"/>
      <c r="D50" s="352"/>
      <c r="E50" s="173"/>
      <c r="F50" s="13"/>
      <c r="G50" s="60"/>
      <c r="I50" s="113"/>
      <c r="J50" s="113"/>
      <c r="K50" s="113"/>
      <c r="L50" s="6"/>
      <c r="M50" s="13"/>
      <c r="N50" s="13"/>
      <c r="O50" s="13"/>
    </row>
    <row r="51" spans="1:15" x14ac:dyDescent="0.3">
      <c r="A51" s="195"/>
      <c r="B51" s="172"/>
      <c r="C51" s="351"/>
      <c r="D51" s="352"/>
      <c r="E51" s="173"/>
      <c r="F51" s="13"/>
      <c r="G51" s="60"/>
      <c r="I51" s="113"/>
      <c r="J51" s="113"/>
      <c r="K51" s="113"/>
      <c r="L51" s="6"/>
      <c r="M51" s="13"/>
      <c r="N51" s="13"/>
      <c r="O51" s="13"/>
    </row>
    <row r="52" spans="1:15" x14ac:dyDescent="0.3">
      <c r="A52" s="195"/>
      <c r="B52" s="172"/>
      <c r="C52" s="351"/>
      <c r="D52" s="352"/>
      <c r="E52" s="173"/>
      <c r="F52" s="13"/>
      <c r="G52" s="60"/>
      <c r="I52" s="113"/>
      <c r="J52" s="113"/>
      <c r="K52" s="113"/>
      <c r="L52" s="6"/>
      <c r="M52" s="13"/>
      <c r="N52" s="13"/>
      <c r="O52" s="13"/>
    </row>
    <row r="53" spans="1:15" x14ac:dyDescent="0.3">
      <c r="A53" s="195"/>
      <c r="B53" s="172"/>
      <c r="C53" s="351"/>
      <c r="D53" s="352"/>
      <c r="E53" s="173"/>
      <c r="F53" s="19"/>
      <c r="G53" s="60"/>
      <c r="K53" s="13"/>
      <c r="L53" s="6"/>
      <c r="M53" s="13"/>
      <c r="N53" s="13"/>
      <c r="O53" s="13"/>
    </row>
    <row r="54" spans="1:15" x14ac:dyDescent="0.3">
      <c r="A54" s="195"/>
      <c r="B54" s="172"/>
      <c r="C54" s="351"/>
      <c r="D54" s="352"/>
      <c r="E54" s="173"/>
      <c r="F54" s="19"/>
      <c r="G54" s="60"/>
      <c r="K54" s="13"/>
      <c r="L54" s="6"/>
      <c r="M54" s="13"/>
      <c r="N54" s="13"/>
      <c r="O54" s="13"/>
    </row>
    <row r="55" spans="1:15" ht="13.8" customHeight="1" thickBot="1" x14ac:dyDescent="0.35">
      <c r="A55" s="16"/>
      <c r="B55" s="89"/>
      <c r="C55" s="90"/>
      <c r="D55" s="90"/>
      <c r="E55" s="89"/>
      <c r="F55" s="89"/>
      <c r="G55" s="70"/>
      <c r="K55" s="13"/>
      <c r="L55" s="6"/>
      <c r="M55" s="13"/>
      <c r="N55" s="13"/>
      <c r="O55" s="13"/>
    </row>
    <row r="56" spans="1:15" ht="15.6" x14ac:dyDescent="0.3">
      <c r="A56" s="77" t="s">
        <v>109</v>
      </c>
      <c r="B56" s="78"/>
      <c r="C56" s="78"/>
      <c r="D56" s="79"/>
      <c r="E56" s="79"/>
      <c r="F56" s="79"/>
      <c r="G56" s="58"/>
      <c r="K56" s="13"/>
      <c r="L56" s="6"/>
      <c r="M56" s="13"/>
      <c r="N56" s="13"/>
      <c r="O56" s="13"/>
    </row>
    <row r="57" spans="1:15" ht="15.6" x14ac:dyDescent="0.3">
      <c r="A57" s="80" t="s">
        <v>33</v>
      </c>
      <c r="B57" s="47" t="s">
        <v>73</v>
      </c>
      <c r="C57" s="47" t="s">
        <v>74</v>
      </c>
      <c r="D57" s="48" t="s">
        <v>75</v>
      </c>
      <c r="E57" s="48" t="s">
        <v>120</v>
      </c>
      <c r="F57" s="48" t="s">
        <v>121</v>
      </c>
      <c r="G57" s="60"/>
      <c r="K57" s="13"/>
      <c r="L57" s="6"/>
      <c r="M57" s="13"/>
      <c r="N57" s="13"/>
      <c r="O57" s="13"/>
    </row>
    <row r="58" spans="1:15" ht="15.6" x14ac:dyDescent="0.3">
      <c r="A58" s="61" t="s">
        <v>118</v>
      </c>
      <c r="B58" s="266">
        <f>B69</f>
        <v>0</v>
      </c>
      <c r="C58" s="267">
        <f>B77</f>
        <v>0</v>
      </c>
      <c r="D58" s="266">
        <f>D45-D44+(C10-0.2*Lookup!$B$17)^2/(C10+0.8*Lookup!$B$17)*$F$28/12-IF(C10-0.2*Lookup!$B$15&lt;0,0,(C10-0.2*Lookup!$B$15)^2/(C10+0.8*Lookup!$B$15))*$B$28/12-IF(C10-0.2*Lookup!$C$15&lt;0,0,(C10-0.2*Lookup!$C$15)^2/(C10+0.8*Lookup!$C$15))*$C$28/12-IF(C10-0.2*Lookup!$D$15&lt;0,0,(C10-0.2*Lookup!$D$15)^2/(C10+0.8*Lookup!$D$15))*$D$28/12-IF(C10-0.2*Lookup!$E$15&lt;0,0,(C10-0.2*Lookup!$E$15)^2/(C10+0.8*Lookup!$E$15)*$E$28)/12</f>
        <v>0</v>
      </c>
      <c r="E58" s="266">
        <f>E45-E44+(D10-0.2*Lookup!$B$17)^2/(D10+0.8*Lookup!$B$17)*$F$28/12-IF(D10-0.2*Lookup!$B$15&lt;0,0,(D10-0.2*Lookup!$B$15)^2/(D10+0.8*Lookup!$B$15))*$B$28/12-IF(D10-0.2*Lookup!$C$15&lt;0,0,(D10-0.2*Lookup!$C$15)^2/(D10+0.8*Lookup!$C$15))*$C$28/12-IF(D10-0.2*Lookup!$D$15&lt;0,0,(D10-0.2*Lookup!$D$15)^2/(D10+0.8*Lookup!$D$15))*$D$28/12-IF(D10-0.2*Lookup!$E$15&lt;0,0,(D10-0.2*Lookup!$E$15)^2/(D10+0.8*Lookup!$E$15)*$E$28)/12</f>
        <v>0</v>
      </c>
      <c r="F58" s="266">
        <f>F45-F44+(E10-0.2*Lookup!$B$17)^2/(E10+0.8*Lookup!$B$17)*$F$28/12-IF(E10-0.2*Lookup!$B$15&lt;0,0,(E10-0.2*Lookup!$B$15)^2/(E10+0.8*Lookup!$B$15))*$B$28/12-IF(E10-0.2*Lookup!$C$15&lt;0,0,(E10-0.2*Lookup!$C$15)^2/(E10+0.8*Lookup!$C$15))*$C$28/12-IF(E10-0.2*Lookup!$D$15&lt;0,0,(E10-0.2*Lookup!$D$15)^2/(E10+0.8*Lookup!$D$15))*$D$28/12-IF(E10-0.2*Lookup!$E$15&lt;0,0,(E10-0.2*Lookup!$E$15)^2/(E10+0.8*Lookup!$E$15)*$E$28)/12</f>
        <v>0</v>
      </c>
      <c r="G58" s="60"/>
      <c r="K58" s="13"/>
      <c r="L58" s="13"/>
      <c r="M58" s="13"/>
      <c r="N58" s="13"/>
      <c r="O58" s="13"/>
    </row>
    <row r="59" spans="1:15" ht="15.6" x14ac:dyDescent="0.3">
      <c r="A59" s="61" t="s">
        <v>72</v>
      </c>
      <c r="B59" s="268">
        <f ca="1">SUM($B$50:$B$54,$E$50:$E$54)-(SUMIF(A50:A54,"Green Roofs",B50:B54)+SUMIF(C50:D54,"Green Roofs",E50:E54))</f>
        <v>0</v>
      </c>
      <c r="C59" s="268">
        <f ca="1">SUM($B$50:$B$54,$E$50:$E$54)-(SUMIF(A50:A54,"Green Roofs",B50:B54)+SUMIF(C50:D54,"Green Roofs",E50:E54))</f>
        <v>0</v>
      </c>
      <c r="D59" s="268">
        <f>SUM($B$50:$B$54,$E$50:$E$54)</f>
        <v>0</v>
      </c>
      <c r="E59" s="268">
        <f t="shared" ref="E59:F59" si="1">SUM($B$50:$B$54,$E$50:$E$54)</f>
        <v>0</v>
      </c>
      <c r="F59" s="268">
        <f t="shared" si="1"/>
        <v>0</v>
      </c>
      <c r="G59" s="60"/>
      <c r="K59" s="24"/>
      <c r="L59" s="13"/>
      <c r="M59" s="13"/>
      <c r="N59" s="13"/>
      <c r="O59" s="13"/>
    </row>
    <row r="60" spans="1:15" ht="15.6" x14ac:dyDescent="0.3">
      <c r="A60" s="81" t="s">
        <v>119</v>
      </c>
      <c r="B60" s="268">
        <f ca="1">IF((B58-B59)&gt;0,B58-B59,0)</f>
        <v>0</v>
      </c>
      <c r="C60" s="268">
        <f ca="1">IF((C58-C59)&gt;0,C58-C59,0)</f>
        <v>0</v>
      </c>
      <c r="D60" s="268">
        <f>IF((D58-D59)&gt;0,D58-D59,0)</f>
        <v>0</v>
      </c>
      <c r="E60" s="268">
        <f>IF((E58-E59)&gt;0,E58-E59,0)</f>
        <v>0</v>
      </c>
      <c r="F60" s="268">
        <f>IF((F58-F59)&gt;0,F58-F59,0)</f>
        <v>0</v>
      </c>
      <c r="G60" s="60"/>
      <c r="K60" s="13"/>
      <c r="L60" s="13"/>
      <c r="M60" s="13"/>
      <c r="N60" s="13"/>
      <c r="O60" s="13"/>
    </row>
    <row r="61" spans="1:15" x14ac:dyDescent="0.3">
      <c r="A61" s="59" t="s">
        <v>44</v>
      </c>
      <c r="B61" s="27" t="str">
        <f>IF(B58=0,"n/a",IF(ROUND(B60,4)=0,"Yes","No"))</f>
        <v>n/a</v>
      </c>
      <c r="C61" s="27" t="str">
        <f ca="1">IF(ROUND(C60,4)=0,"Yes", "No")</f>
        <v>Yes</v>
      </c>
      <c r="D61" s="27" t="str">
        <f>IF(ROUND(D60,4)=0,"Yes", "No")</f>
        <v>Yes</v>
      </c>
      <c r="E61" s="27" t="str">
        <f>IF(ROUND(E60,4)=0,"Yes", "No")</f>
        <v>Yes</v>
      </c>
      <c r="F61" s="27" t="str">
        <f>IF(ROUND(F60,4)=0,"Yes", "No")</f>
        <v>Yes</v>
      </c>
      <c r="G61" s="60"/>
      <c r="H61" s="43"/>
      <c r="K61" s="13"/>
      <c r="L61" s="13"/>
      <c r="M61" s="13"/>
      <c r="N61" s="13"/>
      <c r="O61" s="13"/>
    </row>
    <row r="62" spans="1:15" x14ac:dyDescent="0.3">
      <c r="A62" s="59"/>
      <c r="B62" s="25"/>
      <c r="C62" s="25"/>
      <c r="D62" s="25"/>
      <c r="E62" s="25"/>
      <c r="F62" s="25"/>
      <c r="G62" s="60"/>
      <c r="K62" s="13"/>
      <c r="L62" s="13"/>
      <c r="M62" s="13"/>
      <c r="N62" s="13"/>
      <c r="O62" s="13"/>
    </row>
    <row r="63" spans="1:15" ht="15.6" x14ac:dyDescent="0.3">
      <c r="A63" s="110" t="s">
        <v>43</v>
      </c>
      <c r="B63" s="29" t="s">
        <v>34</v>
      </c>
      <c r="C63" s="28" t="str">
        <f>IF(F32=0,"n/a",200/((2+B10+C58*(24/F32))-(5*B10*C58*(12/F32)+4*(C58*(12/F32))^2)^(1/2)))</f>
        <v>n/a</v>
      </c>
      <c r="D63" s="28" t="str">
        <f>IF(F32=0,"n/a",200/((2+C10+D45*(24/F32))-(5*C10*D45*(12/F32)+4*(D45*(12/F32))^2)^(1/2)))</f>
        <v>n/a</v>
      </c>
      <c r="E63" s="28" t="str">
        <f>IF(F32=0,"n/a",200/((2+D10+E45*(24/F32))-(5*D10*E45*(12/F32)+4*(E45*(12/F32))^2)^(1/2)))</f>
        <v>n/a</v>
      </c>
      <c r="F63" s="28" t="str">
        <f>IF(F32=0,"n/a",200/((2+E10+F45*(24/F32))-(5*E10*F45*(12/F32)+4*(F45*(12/F32))^2)^(1/2)))</f>
        <v>n/a</v>
      </c>
      <c r="G63" s="60"/>
      <c r="K63" s="24"/>
      <c r="L63" s="13"/>
      <c r="M63" s="13"/>
      <c r="N63" s="13"/>
      <c r="O63" s="13"/>
    </row>
    <row r="64" spans="1:15" ht="16.2" x14ac:dyDescent="0.35">
      <c r="A64" s="111" t="s">
        <v>42</v>
      </c>
      <c r="B64" s="30" t="s">
        <v>34</v>
      </c>
      <c r="C64" s="26" t="str">
        <f>IF(F32=0,"n/a",IF(B59&gt;C58,"n/a",200/(2+B10+((C58-$B$59)*24/F32)-SQRT(5*B10*(C58-$B$59)*12/F32+4*((C58-$B$59)*12/F32)^2))))</f>
        <v>n/a</v>
      </c>
      <c r="D64" s="26" t="str">
        <f>IF(F32=0,"n/a",IF(D59&gt;D45,0,200/(2+C10+((D45-$B$59)*24/F32)-SQRT(5*C10*(D45-$B$59)*12/F32+4*((D45-$B$59)*12/F32)^2))))</f>
        <v>n/a</v>
      </c>
      <c r="E64" s="26" t="str">
        <f>IF(F32=0,"n/a",IF(E59&gt;E45,0,200/(2+D10+((E45-$B$59)*24/F32)-SQRT(5*D10*(E45-$B$59)*12/F32+4*((E45-$B$59)*12/F32)^2))))</f>
        <v>n/a</v>
      </c>
      <c r="F64" s="26" t="str">
        <f>IF(F32=0,"n/a",IF(F59&gt;F45,0,200/(2+E10+((F45-$B$59)*24/F32)-SQRT(5*E10*(F45-$B$59)*12/F32+4*((F45-$B$59)*12/F32)^2))))</f>
        <v>n/a</v>
      </c>
      <c r="G64" s="60"/>
      <c r="K64" s="24"/>
      <c r="L64" s="6"/>
      <c r="M64" s="13"/>
      <c r="N64" s="13"/>
      <c r="O64" s="13"/>
    </row>
    <row r="65" spans="1:15" ht="15.6" x14ac:dyDescent="0.3">
      <c r="A65" s="112" t="s">
        <v>36</v>
      </c>
      <c r="B65" s="82" t="s">
        <v>34</v>
      </c>
      <c r="C65" s="83" t="s">
        <v>34</v>
      </c>
      <c r="D65" s="84" t="str">
        <f>IF(F20-F19=0,"n/a",200/(C10+2*D44*12/(F20-F19)+2-SQRT(5*C10*D44*12/(F20-F19)+4*(D44*12/(F20-F19))^2)))</f>
        <v>n/a</v>
      </c>
      <c r="E65" s="84" t="str">
        <f>IF((F20-F19)=0,"n/a",200/(D10+2*E44*12/(F20-F19)+2-SQRT(5*D10*E44*12/(F20-F19)+4*(E44*12/(F20-F19))^2)))</f>
        <v>n/a</v>
      </c>
      <c r="F65" s="84" t="str">
        <f>IF((F20-F19)=0,"n/a",200/(E10+2*F44*12/(F20-F19)+2-SQRT(5*E10*F44*12/(F20-F19)+4*(F44*12/(F20-F19))^2)))</f>
        <v>n/a</v>
      </c>
      <c r="G65" s="60"/>
      <c r="K65" s="24"/>
      <c r="L65" s="6"/>
      <c r="M65" s="13"/>
      <c r="N65" s="13"/>
      <c r="O65" s="13"/>
    </row>
    <row r="66" spans="1:15" ht="16.2" thickBot="1" x14ac:dyDescent="0.35">
      <c r="A66" s="16"/>
      <c r="B66" s="17"/>
      <c r="C66" s="17"/>
      <c r="D66" s="17"/>
      <c r="E66" s="17"/>
      <c r="F66" s="17"/>
      <c r="G66" s="70"/>
      <c r="K66" s="24"/>
      <c r="L66" s="13"/>
      <c r="M66" s="13"/>
      <c r="N66" s="13"/>
      <c r="O66" s="13"/>
    </row>
    <row r="67" spans="1:15" ht="15.6" x14ac:dyDescent="0.3">
      <c r="A67" s="56" t="s">
        <v>76</v>
      </c>
      <c r="B67" s="57"/>
      <c r="C67" s="57"/>
      <c r="D67" s="57"/>
      <c r="E67" s="57"/>
      <c r="F67" s="178">
        <v>1</v>
      </c>
      <c r="G67" s="58"/>
      <c r="K67" s="24"/>
      <c r="L67" s="6"/>
      <c r="M67" s="13"/>
      <c r="N67" s="13"/>
      <c r="O67" s="13"/>
    </row>
    <row r="68" spans="1:15" ht="30.6" customHeight="1" x14ac:dyDescent="0.3">
      <c r="A68" s="59" t="s">
        <v>77</v>
      </c>
      <c r="B68" s="174"/>
      <c r="C68" s="386" t="str">
        <f>IF(F67=1,"","Reason recharge not required (if No is selected):")</f>
        <v/>
      </c>
      <c r="D68" s="386"/>
      <c r="E68" s="387"/>
      <c r="F68" s="387"/>
      <c r="G68" s="60"/>
      <c r="K68" s="24"/>
      <c r="L68" s="6"/>
      <c r="M68" s="13"/>
      <c r="N68" s="13"/>
      <c r="O68" s="13"/>
    </row>
    <row r="69" spans="1:15" ht="15.6" x14ac:dyDescent="0.3">
      <c r="A69" s="59" t="s">
        <v>117</v>
      </c>
      <c r="B69" s="265">
        <f>((B27+B28)*Lookup!B21+(C27+C28)*Lookup!C21+(D27+D28)*Lookup!D21+(E27+E28)*Lookup!E21*(F27+F28))/12</f>
        <v>0</v>
      </c>
      <c r="C69" s="301"/>
      <c r="D69" s="301"/>
      <c r="E69" s="182"/>
      <c r="F69" s="182"/>
      <c r="G69" s="60"/>
      <c r="K69" s="24"/>
      <c r="L69" s="6"/>
      <c r="M69" s="13"/>
      <c r="N69" s="13"/>
      <c r="O69" s="13"/>
    </row>
    <row r="70" spans="1:15" ht="42.6" customHeight="1" x14ac:dyDescent="0.3">
      <c r="A70" s="302" t="s">
        <v>110</v>
      </c>
      <c r="B70" s="27" t="str">
        <f>B61</f>
        <v>n/a</v>
      </c>
      <c r="C70" s="388" t="str">
        <f>IF(B70="No",IF(F67=1,"NOTE: Treatment provided is insufficient to meet the recharge standard within this drainage area.  Add more infiltrating practices unless recharge is being met site-wide. (check summary tab)","Standard not applicable."),"")</f>
        <v/>
      </c>
      <c r="D70" s="389"/>
      <c r="E70" s="389"/>
      <c r="F70" s="389"/>
      <c r="G70" s="390"/>
      <c r="K70" s="24"/>
      <c r="L70" s="13"/>
      <c r="M70" s="13"/>
      <c r="N70" s="13"/>
      <c r="O70" s="13"/>
    </row>
    <row r="71" spans="1:15" ht="101.4" customHeight="1" thickBot="1" x14ac:dyDescent="0.35">
      <c r="A71" s="222" t="s">
        <v>167</v>
      </c>
      <c r="B71" s="412"/>
      <c r="C71" s="412"/>
      <c r="D71" s="412"/>
      <c r="E71" s="412"/>
      <c r="F71" s="412"/>
      <c r="G71" s="413"/>
      <c r="K71" s="24"/>
      <c r="L71" s="6"/>
      <c r="M71" s="13"/>
      <c r="N71" s="13"/>
      <c r="O71" s="13"/>
    </row>
    <row r="72" spans="1:15" ht="75" customHeight="1" thickBot="1" x14ac:dyDescent="0.35">
      <c r="A72" s="269"/>
      <c r="B72" s="270"/>
      <c r="C72" s="270"/>
      <c r="D72" s="270"/>
      <c r="E72" s="270"/>
      <c r="F72" s="270"/>
      <c r="G72" s="270"/>
      <c r="K72" s="24"/>
      <c r="L72" s="6"/>
      <c r="M72" s="13"/>
      <c r="N72" s="13"/>
      <c r="O72" s="13"/>
    </row>
    <row r="73" spans="1:15" ht="15.6" x14ac:dyDescent="0.3">
      <c r="A73" s="56" t="s">
        <v>95</v>
      </c>
      <c r="B73" s="57"/>
      <c r="C73" s="57"/>
      <c r="D73" s="57"/>
      <c r="E73" s="178">
        <v>1</v>
      </c>
      <c r="F73" s="178">
        <v>1</v>
      </c>
      <c r="G73" s="58"/>
      <c r="K73" s="24"/>
      <c r="L73" s="6"/>
      <c r="M73" s="13"/>
      <c r="N73" s="13"/>
      <c r="O73" s="13"/>
    </row>
    <row r="74" spans="1:15" ht="15" customHeight="1" x14ac:dyDescent="0.3">
      <c r="A74" s="91"/>
      <c r="B74" s="7" t="s">
        <v>233</v>
      </c>
      <c r="C74" s="13"/>
      <c r="D74" s="13"/>
      <c r="E74" s="13"/>
      <c r="F74" s="7" t="s">
        <v>236</v>
      </c>
      <c r="G74" s="60"/>
      <c r="K74" s="24"/>
      <c r="L74" s="6"/>
      <c r="M74" s="13"/>
      <c r="N74" s="13"/>
      <c r="O74" s="13"/>
    </row>
    <row r="75" spans="1:15" ht="16.2" x14ac:dyDescent="0.35">
      <c r="A75" s="67" t="s">
        <v>221</v>
      </c>
      <c r="B75" s="265">
        <f>IF(F27+F28=0,0,(0.05+0.9*(G27+G28))*1*F32/12)</f>
        <v>0</v>
      </c>
      <c r="C75" s="373" t="s">
        <v>235</v>
      </c>
      <c r="D75" s="374"/>
      <c r="E75" s="75">
        <f>G35</f>
        <v>0</v>
      </c>
      <c r="G75" s="60"/>
      <c r="K75" s="24"/>
      <c r="L75" s="6"/>
      <c r="M75" s="13"/>
      <c r="N75" s="13"/>
      <c r="O75" s="13"/>
    </row>
    <row r="76" spans="1:15" ht="30" customHeight="1" x14ac:dyDescent="0.3">
      <c r="A76" s="61" t="s">
        <v>222</v>
      </c>
      <c r="B76" s="265">
        <f>IF(F30=0,0,IF(F73=2,IF(E76&gt;25%,0,(0.05+0.9*G30)*1*F32/12*(50%-2*E76)),(0.05+0.9*G30)*1*F32/12*0.5))</f>
        <v>0</v>
      </c>
      <c r="C76" s="375" t="s">
        <v>234</v>
      </c>
      <c r="D76" s="376"/>
      <c r="E76" s="225">
        <f>G36</f>
        <v>0</v>
      </c>
      <c r="G76" s="226" t="str">
        <f>IF(E76="n/a","",IF(E76&gt;25%,"Max 25% applied",""))</f>
        <v/>
      </c>
      <c r="K76" s="24"/>
      <c r="L76" s="13"/>
      <c r="M76" s="13"/>
      <c r="N76" s="13"/>
      <c r="O76" s="13"/>
    </row>
    <row r="77" spans="1:15" ht="15" customHeight="1" x14ac:dyDescent="0.3">
      <c r="A77" s="59" t="s">
        <v>111</v>
      </c>
      <c r="B77" s="265">
        <f>IF(E73=2,IF(E75&lt;5%,B75+B76,(B75+B76)*(100%-E75)),B75+B76)</f>
        <v>0</v>
      </c>
      <c r="C77" s="377" t="str">
        <f>IF(E73+F73=4,"ERROR! Net Reduction and Redevelopment cannot both apply","")</f>
        <v/>
      </c>
      <c r="D77" s="378"/>
      <c r="E77" s="378"/>
      <c r="F77" s="378"/>
      <c r="G77" s="379"/>
      <c r="K77" s="24"/>
      <c r="L77" s="13"/>
      <c r="M77" s="13"/>
      <c r="N77" s="13"/>
      <c r="O77" s="13"/>
    </row>
    <row r="78" spans="1:15" ht="30" x14ac:dyDescent="0.3">
      <c r="A78" s="302" t="s">
        <v>204</v>
      </c>
      <c r="B78" s="306">
        <f ca="1">IF(C59&gt;C58,C58,C59)</f>
        <v>0</v>
      </c>
      <c r="C78" s="63"/>
      <c r="D78" s="371" t="s">
        <v>209</v>
      </c>
      <c r="E78" s="371"/>
      <c r="F78" s="185"/>
      <c r="G78" s="186">
        <v>1</v>
      </c>
      <c r="K78" s="24"/>
      <c r="L78" s="13"/>
      <c r="M78" s="13"/>
      <c r="N78" s="13"/>
      <c r="O78" s="13"/>
    </row>
    <row r="79" spans="1:15" ht="30.6" customHeight="1" x14ac:dyDescent="0.3">
      <c r="A79" s="224" t="s">
        <v>149</v>
      </c>
      <c r="B79" s="306">
        <f ca="1">IF(G78=2,"N/A",IF(B77-B78&lt;0,0,B77-B78))</f>
        <v>0</v>
      </c>
      <c r="C79" s="63"/>
      <c r="D79" s="223"/>
      <c r="E79" s="223"/>
      <c r="F79" s="13"/>
      <c r="G79" s="64"/>
      <c r="K79" s="24"/>
      <c r="L79" s="13"/>
      <c r="M79" s="13"/>
      <c r="N79" s="13"/>
      <c r="O79" s="13"/>
    </row>
    <row r="80" spans="1:15" ht="10.8" customHeight="1" x14ac:dyDescent="0.3">
      <c r="A80" s="302"/>
      <c r="B80" s="13"/>
      <c r="C80" s="63"/>
      <c r="D80" s="13"/>
      <c r="E80" s="13"/>
      <c r="F80" s="13"/>
      <c r="G80" s="60"/>
      <c r="K80" s="13"/>
      <c r="L80" s="6"/>
      <c r="M80" s="13"/>
      <c r="N80" s="13"/>
      <c r="O80" s="13"/>
    </row>
    <row r="81" spans="1:15" ht="28.8" customHeight="1" x14ac:dyDescent="0.3">
      <c r="A81" s="401" t="str">
        <f>IF(B82="","","NOTE: Please include a copy of the appropriate STP worksheet(s) with the application.")</f>
        <v/>
      </c>
      <c r="B81" s="391" t="s">
        <v>160</v>
      </c>
      <c r="C81" s="392"/>
      <c r="D81" s="393"/>
      <c r="E81" s="297" t="s">
        <v>147</v>
      </c>
      <c r="F81" s="303" t="s">
        <v>138</v>
      </c>
      <c r="G81" s="60"/>
      <c r="K81" s="13"/>
      <c r="L81" s="6"/>
      <c r="M81" s="13"/>
      <c r="N81" s="13"/>
      <c r="O81" s="13"/>
    </row>
    <row r="82" spans="1:15" x14ac:dyDescent="0.3">
      <c r="A82" s="401"/>
      <c r="B82" s="372"/>
      <c r="C82" s="372"/>
      <c r="D82" s="372"/>
      <c r="E82" s="305"/>
      <c r="F82" s="108" t="str">
        <f>IF(B82="","",VLOOKUP(B82,Lookup!$H$13:$I$19,2,FALSE))</f>
        <v/>
      </c>
      <c r="G82" s="60"/>
    </row>
    <row r="83" spans="1:15" x14ac:dyDescent="0.3">
      <c r="A83" s="401"/>
      <c r="B83" s="372"/>
      <c r="C83" s="372"/>
      <c r="D83" s="372"/>
      <c r="E83" s="305"/>
      <c r="F83" s="108" t="str">
        <f>IF(B83="","",VLOOKUP(B83,Lookup!$H$13:$I$19,2,FALSE))</f>
        <v/>
      </c>
      <c r="G83" s="60"/>
    </row>
    <row r="84" spans="1:15" x14ac:dyDescent="0.3">
      <c r="A84" s="401"/>
      <c r="B84" s="372"/>
      <c r="C84" s="372"/>
      <c r="D84" s="372"/>
      <c r="E84" s="305"/>
      <c r="F84" s="108" t="str">
        <f>IF(B84="","",VLOOKUP(B84,Lookup!$H$13:$I$19,2,FALSE))</f>
        <v/>
      </c>
      <c r="G84" s="60"/>
    </row>
    <row r="85" spans="1:15" ht="15.6" x14ac:dyDescent="0.35">
      <c r="A85" s="118"/>
      <c r="B85" s="19"/>
      <c r="C85" s="19"/>
      <c r="D85" s="1" t="s">
        <v>153</v>
      </c>
      <c r="E85" s="307">
        <f>SUM(E82:E84)</f>
        <v>0</v>
      </c>
      <c r="F85" s="13" t="s">
        <v>90</v>
      </c>
      <c r="G85" s="60"/>
    </row>
    <row r="86" spans="1:15" ht="15.6" x14ac:dyDescent="0.35">
      <c r="A86" s="68"/>
      <c r="B86" s="19"/>
      <c r="C86" s="19"/>
      <c r="D86" s="1" t="s">
        <v>203</v>
      </c>
      <c r="E86" s="134" t="str">
        <f ca="1">IF(G78=2,"Yes",IF(ROUND(E85,4)&gt;=ROUND(B79,4),"Yes","No"))</f>
        <v>Yes</v>
      </c>
      <c r="F86" s="13"/>
      <c r="G86" s="60"/>
    </row>
    <row r="87" spans="1:15" ht="14.4" customHeight="1" x14ac:dyDescent="0.3">
      <c r="A87" s="368" t="str">
        <f ca="1">IF(E86="No","NOTE:  Add more water quality practices unless site balancing is being used. (Check summary tab)","")</f>
        <v/>
      </c>
      <c r="B87" s="369"/>
      <c r="C87" s="369"/>
      <c r="D87" s="369"/>
      <c r="E87" s="369"/>
      <c r="F87" s="369"/>
      <c r="G87" s="370"/>
    </row>
    <row r="88" spans="1:15" ht="51.6" customHeight="1" thickBot="1" x14ac:dyDescent="0.35">
      <c r="A88" s="239" t="s">
        <v>168</v>
      </c>
      <c r="B88" s="414"/>
      <c r="C88" s="414"/>
      <c r="D88" s="414"/>
      <c r="E88" s="414"/>
      <c r="F88" s="414"/>
      <c r="G88" s="414"/>
    </row>
    <row r="89" spans="1:15" ht="15.6" x14ac:dyDescent="0.3">
      <c r="A89" s="56" t="s">
        <v>96</v>
      </c>
      <c r="B89" s="57"/>
      <c r="C89" s="57"/>
      <c r="D89" s="57"/>
      <c r="E89" s="178">
        <v>1</v>
      </c>
      <c r="F89" s="178">
        <v>1</v>
      </c>
      <c r="G89" s="58"/>
    </row>
    <row r="90" spans="1:15" ht="29.4" customHeight="1" x14ac:dyDescent="0.3">
      <c r="A90" s="59" t="s">
        <v>77</v>
      </c>
      <c r="B90" s="125"/>
      <c r="C90" s="364" t="str">
        <f>IF(F89=2,"Waiver (if No is selected):","")</f>
        <v/>
      </c>
      <c r="D90" s="364"/>
      <c r="E90" s="380"/>
      <c r="F90" s="380"/>
      <c r="G90" s="60"/>
      <c r="M90" s="41"/>
    </row>
    <row r="91" spans="1:15" s="49" customFormat="1" ht="37.200000000000003" customHeight="1" x14ac:dyDescent="0.3">
      <c r="A91" s="59" t="s">
        <v>80</v>
      </c>
      <c r="B91" s="27" t="str">
        <f>D61</f>
        <v>Yes</v>
      </c>
      <c r="C91" s="348"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been fully met with hydrologic condition method. Additional treatment of the 1 year storm is not required.</v>
      </c>
      <c r="D91" s="349"/>
      <c r="E91" s="349"/>
      <c r="F91" s="349"/>
      <c r="G91" s="350"/>
    </row>
    <row r="92" spans="1:15" s="49" customFormat="1" ht="31.2" customHeight="1" x14ac:dyDescent="0.3">
      <c r="A92" s="61" t="s">
        <v>81</v>
      </c>
      <c r="B92" s="62" t="str">
        <f>IF(D60&gt;0,D45-D59,"n/a")</f>
        <v>n/a</v>
      </c>
      <c r="C92" s="54" t="s">
        <v>90</v>
      </c>
      <c r="D92" s="31"/>
      <c r="E92" s="13"/>
      <c r="F92" s="63"/>
      <c r="G92" s="64"/>
    </row>
    <row r="93" spans="1:15" ht="34.799999999999997" customHeight="1" x14ac:dyDescent="0.3">
      <c r="A93" s="61" t="s">
        <v>92</v>
      </c>
      <c r="B93" s="125"/>
      <c r="C93" s="65" t="s">
        <v>94</v>
      </c>
      <c r="D93" s="304" t="s">
        <v>93</v>
      </c>
      <c r="E93" s="363" t="str">
        <f>IF(E89=1,"12 hours of extended detention","24 hours of extended detention")</f>
        <v>12 hours of extended detention</v>
      </c>
      <c r="F93" s="363"/>
      <c r="G93" s="60"/>
    </row>
    <row r="94" spans="1:15" ht="15" customHeight="1" x14ac:dyDescent="0.3">
      <c r="A94" s="381" t="str">
        <f>HYPERLINK("http://dec.vermont.gov/sites/dec/files/documents/wsmd_water_quality_standards_2016.pdf", "See the Vermont Water Quality Standards for warm and cold water designations")</f>
        <v>See the Vermont Water Quality Standards for warm and cold water designations</v>
      </c>
      <c r="B94" s="382"/>
      <c r="C94" s="382"/>
      <c r="D94" s="13"/>
      <c r="E94" s="358" t="s">
        <v>150</v>
      </c>
      <c r="F94" s="358"/>
      <c r="G94" s="179" t="b">
        <v>0</v>
      </c>
    </row>
    <row r="95" spans="1:15" ht="14.4" customHeight="1" x14ac:dyDescent="0.3">
      <c r="A95" s="381"/>
      <c r="B95" s="382"/>
      <c r="C95" s="382"/>
      <c r="D95" s="13"/>
      <c r="E95" s="359" t="s">
        <v>182</v>
      </c>
      <c r="F95" s="359"/>
      <c r="G95" s="360"/>
    </row>
    <row r="96" spans="1:15" x14ac:dyDescent="0.3">
      <c r="A96" s="299"/>
      <c r="B96" s="300"/>
      <c r="C96" s="13"/>
      <c r="D96" s="13"/>
      <c r="E96" s="359"/>
      <c r="F96" s="359"/>
      <c r="G96" s="360"/>
    </row>
    <row r="97" spans="1:7" x14ac:dyDescent="0.3">
      <c r="A97" s="66" t="s">
        <v>151</v>
      </c>
      <c r="B97" s="418"/>
      <c r="C97" s="419"/>
      <c r="D97" s="13"/>
      <c r="E97" s="183"/>
      <c r="F97" s="361" t="str">
        <f>IF(G94=TRUE,"detention time (hrs)","")</f>
        <v/>
      </c>
      <c r="G97" s="362"/>
    </row>
    <row r="98" spans="1:7" ht="11.4" customHeight="1" x14ac:dyDescent="0.3">
      <c r="A98" s="66"/>
      <c r="B98" s="55"/>
      <c r="C98" s="55"/>
      <c r="D98" s="13"/>
      <c r="E98" s="13"/>
      <c r="F98" s="13"/>
      <c r="G98" s="60"/>
    </row>
    <row r="99" spans="1:7" ht="45.6" customHeight="1" x14ac:dyDescent="0.3">
      <c r="A99" s="343" t="s">
        <v>210</v>
      </c>
      <c r="B99" s="344"/>
      <c r="C99" s="344"/>
      <c r="D99" s="344"/>
      <c r="E99" s="344"/>
      <c r="F99" s="344"/>
      <c r="G99" s="345"/>
    </row>
    <row r="100" spans="1:7" s="49" customFormat="1" ht="31.2" customHeight="1" x14ac:dyDescent="0.3">
      <c r="A100" s="59" t="s">
        <v>91</v>
      </c>
      <c r="B100" s="128" t="str">
        <f>D64</f>
        <v>n/a</v>
      </c>
      <c r="C100" s="383" t="s">
        <v>223</v>
      </c>
      <c r="D100" s="384"/>
      <c r="E100" s="129">
        <f>IF(E41=0,0,(F41^0.8)*(((1000/IF(B100&gt;95,95,IF(B100&lt;50,50,B100)))-9)^0.7)/(1140*E41^0.5)*60)</f>
        <v>0</v>
      </c>
      <c r="F100" s="73" t="s">
        <v>102</v>
      </c>
      <c r="G100" s="64"/>
    </row>
    <row r="101" spans="1:7" ht="49.2" customHeight="1" thickBot="1" x14ac:dyDescent="0.35">
      <c r="A101" s="222" t="s">
        <v>169</v>
      </c>
      <c r="B101" s="365"/>
      <c r="C101" s="366"/>
      <c r="D101" s="366"/>
      <c r="E101" s="366"/>
      <c r="F101" s="366"/>
      <c r="G101" s="367"/>
    </row>
    <row r="102" spans="1:7" ht="18" x14ac:dyDescent="0.4">
      <c r="A102" s="56" t="s">
        <v>97</v>
      </c>
      <c r="B102" s="57"/>
      <c r="C102" s="57"/>
      <c r="D102" s="57"/>
      <c r="E102" s="57"/>
      <c r="F102" s="178">
        <v>1</v>
      </c>
      <c r="G102" s="58"/>
    </row>
    <row r="103" spans="1:7" ht="29.4" customHeight="1" x14ac:dyDescent="0.3">
      <c r="A103" s="59" t="s">
        <v>77</v>
      </c>
      <c r="B103" s="127"/>
      <c r="C103" s="364" t="str">
        <f>IF(F102=1,"","Waiver (if No is selected):")</f>
        <v/>
      </c>
      <c r="D103" s="364"/>
      <c r="E103" s="380"/>
      <c r="F103" s="380"/>
      <c r="G103" s="60"/>
    </row>
    <row r="104" spans="1:7" ht="43.2" customHeight="1" x14ac:dyDescent="0.3">
      <c r="A104" s="59" t="s">
        <v>80</v>
      </c>
      <c r="B104" s="27" t="str">
        <f>E61</f>
        <v>Yes</v>
      </c>
      <c r="C104" s="348"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been fully met.  No additional STPs are required.</v>
      </c>
      <c r="D104" s="349"/>
      <c r="E104" s="349"/>
      <c r="F104" s="349"/>
      <c r="G104" s="350"/>
    </row>
    <row r="105" spans="1:7" x14ac:dyDescent="0.3">
      <c r="A105" s="68" t="s">
        <v>104</v>
      </c>
      <c r="B105" s="357"/>
      <c r="C105" s="357"/>
      <c r="D105" s="357"/>
      <c r="E105" s="357"/>
      <c r="F105" s="357"/>
      <c r="G105" s="60"/>
    </row>
    <row r="106" spans="1:7" x14ac:dyDescent="0.3">
      <c r="A106" s="14"/>
      <c r="B106" s="13"/>
      <c r="C106" s="20" t="s">
        <v>105</v>
      </c>
      <c r="D106" s="176"/>
      <c r="E106" s="13"/>
      <c r="F106" s="13"/>
      <c r="G106" s="60"/>
    </row>
    <row r="107" spans="1:7" x14ac:dyDescent="0.3">
      <c r="A107" s="14"/>
      <c r="B107" s="13"/>
      <c r="C107" s="20" t="s">
        <v>107</v>
      </c>
      <c r="D107" s="176"/>
      <c r="E107" s="13"/>
      <c r="F107" s="13"/>
      <c r="G107" s="60"/>
    </row>
    <row r="108" spans="1:7" x14ac:dyDescent="0.3">
      <c r="A108" s="14"/>
      <c r="B108" s="13"/>
      <c r="C108" s="20" t="s">
        <v>106</v>
      </c>
      <c r="D108" s="176"/>
      <c r="E108" s="13"/>
      <c r="F108" s="13"/>
      <c r="G108" s="60"/>
    </row>
    <row r="109" spans="1:7" x14ac:dyDescent="0.3">
      <c r="A109" s="14"/>
      <c r="B109" s="13"/>
      <c r="C109" s="20"/>
      <c r="D109" s="19"/>
      <c r="E109" s="13"/>
      <c r="F109" s="13"/>
      <c r="G109" s="60"/>
    </row>
    <row r="110" spans="1:7" ht="46.8" customHeight="1" x14ac:dyDescent="0.3">
      <c r="A110" s="343" t="s">
        <v>211</v>
      </c>
      <c r="B110" s="344"/>
      <c r="C110" s="344"/>
      <c r="D110" s="344"/>
      <c r="E110" s="344"/>
      <c r="F110" s="344"/>
      <c r="G110" s="345"/>
    </row>
    <row r="111" spans="1:7" ht="28.8" customHeight="1" x14ac:dyDescent="0.3">
      <c r="A111" s="194" t="s">
        <v>224</v>
      </c>
      <c r="B111" s="71" t="str">
        <f>E65</f>
        <v>n/a</v>
      </c>
      <c r="C111" s="420" t="s">
        <v>225</v>
      </c>
      <c r="D111" s="421"/>
      <c r="E111" s="72">
        <f>IF(E40=0,0,(F40^0.8)*(((1000/IF(B111&gt;95,95,IF(B111&lt;50,50,B111)))-9)^0.7)/(1140*E40^0.5)*60)</f>
        <v>0</v>
      </c>
      <c r="F111" s="346" t="s">
        <v>102</v>
      </c>
      <c r="G111" s="298"/>
    </row>
    <row r="112" spans="1:7" ht="28.8" customHeight="1" x14ac:dyDescent="0.3">
      <c r="A112" s="59" t="s">
        <v>91</v>
      </c>
      <c r="B112" s="71" t="str">
        <f>E64</f>
        <v>n/a</v>
      </c>
      <c r="C112" s="383" t="s">
        <v>223</v>
      </c>
      <c r="D112" s="384"/>
      <c r="E112" s="72">
        <f>IF(E41=0,0,(F41^0.8)*(((1000/IF(B112&gt;95,95,IF(B112&lt;50,50,B112)))-9)^0.7)/(1140*E41^0.5)*60)</f>
        <v>0</v>
      </c>
      <c r="F112" s="347"/>
      <c r="G112" s="64"/>
    </row>
    <row r="113" spans="1:7" ht="57.6" customHeight="1" thickBot="1" x14ac:dyDescent="0.35">
      <c r="A113" s="124" t="s">
        <v>170</v>
      </c>
      <c r="B113" s="365"/>
      <c r="C113" s="366"/>
      <c r="D113" s="366"/>
      <c r="E113" s="366"/>
      <c r="F113" s="366"/>
      <c r="G113" s="367"/>
    </row>
    <row r="114" spans="1:7" ht="18" x14ac:dyDescent="0.4">
      <c r="A114" s="56" t="s">
        <v>108</v>
      </c>
      <c r="B114" s="57"/>
      <c r="C114" s="57"/>
      <c r="D114" s="57"/>
      <c r="E114" s="57"/>
      <c r="F114" s="178">
        <v>1</v>
      </c>
      <c r="G114" s="58"/>
    </row>
    <row r="115" spans="1:7" ht="28.8" customHeight="1" x14ac:dyDescent="0.3">
      <c r="A115" s="59" t="s">
        <v>77</v>
      </c>
      <c r="B115" s="126"/>
      <c r="C115" s="364" t="str">
        <f>IF(F114=1,"","Waiver (if No is selected):")</f>
        <v/>
      </c>
      <c r="D115" s="364"/>
      <c r="E115" s="380"/>
      <c r="F115" s="380"/>
      <c r="G115" s="60"/>
    </row>
    <row r="116" spans="1:7" ht="43.2" customHeight="1" x14ac:dyDescent="0.3">
      <c r="A116" s="59" t="s">
        <v>80</v>
      </c>
      <c r="B116" s="27" t="str">
        <f>F61</f>
        <v>Yes</v>
      </c>
      <c r="C116" s="348"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flood standard has been fully met.  No additional STPs are required.</v>
      </c>
      <c r="D116" s="349"/>
      <c r="E116" s="349"/>
      <c r="F116" s="349"/>
      <c r="G116" s="350"/>
    </row>
    <row r="117" spans="1:7" x14ac:dyDescent="0.3">
      <c r="A117" s="68" t="s">
        <v>104</v>
      </c>
      <c r="B117" s="424"/>
      <c r="C117" s="424"/>
      <c r="D117" s="424"/>
      <c r="E117" s="424"/>
      <c r="F117" s="424"/>
      <c r="G117" s="60"/>
    </row>
    <row r="118" spans="1:7" x14ac:dyDescent="0.3">
      <c r="A118" s="14"/>
      <c r="B118" s="13"/>
      <c r="C118" s="20" t="s">
        <v>105</v>
      </c>
      <c r="D118" s="177"/>
      <c r="E118" s="13"/>
      <c r="F118" s="13"/>
      <c r="G118" s="60"/>
    </row>
    <row r="119" spans="1:7" x14ac:dyDescent="0.3">
      <c r="A119" s="14"/>
      <c r="B119" s="13"/>
      <c r="C119" s="20" t="s">
        <v>107</v>
      </c>
      <c r="D119" s="177"/>
      <c r="E119" s="13"/>
      <c r="F119" s="13"/>
      <c r="G119" s="60"/>
    </row>
    <row r="120" spans="1:7" x14ac:dyDescent="0.3">
      <c r="A120" s="14"/>
      <c r="B120" s="13"/>
      <c r="C120" s="20" t="s">
        <v>106</v>
      </c>
      <c r="D120" s="177"/>
      <c r="E120" s="13"/>
      <c r="F120" s="13"/>
      <c r="G120" s="60"/>
    </row>
    <row r="121" spans="1:7" x14ac:dyDescent="0.3">
      <c r="A121" s="14"/>
      <c r="B121" s="13"/>
      <c r="C121" s="13"/>
      <c r="D121" s="13"/>
      <c r="E121" s="13"/>
      <c r="F121" s="13"/>
      <c r="G121" s="60"/>
    </row>
    <row r="122" spans="1:7" ht="45.6" customHeight="1" x14ac:dyDescent="0.3">
      <c r="A122" s="343" t="s">
        <v>215</v>
      </c>
      <c r="B122" s="344"/>
      <c r="C122" s="344"/>
      <c r="D122" s="344"/>
      <c r="E122" s="344"/>
      <c r="F122" s="344"/>
      <c r="G122" s="345"/>
    </row>
    <row r="123" spans="1:7" ht="32.4" customHeight="1" x14ac:dyDescent="0.3">
      <c r="A123" s="194" t="s">
        <v>224</v>
      </c>
      <c r="B123" s="71" t="str">
        <f>F65</f>
        <v>n/a</v>
      </c>
      <c r="C123" s="420" t="s">
        <v>225</v>
      </c>
      <c r="D123" s="421"/>
      <c r="E123" s="72">
        <f>IF(E40=0,0,(F40^0.8)*(((1000/IF(B123&gt;95,95,IF(B123&lt;50,50,B123)))-9)^0.7)/(1140*E40^0.5)*60)</f>
        <v>0</v>
      </c>
      <c r="F123" s="422" t="s">
        <v>102</v>
      </c>
      <c r="G123" s="298"/>
    </row>
    <row r="124" spans="1:7" ht="28.8" customHeight="1" x14ac:dyDescent="0.3">
      <c r="A124" s="59" t="s">
        <v>91</v>
      </c>
      <c r="B124" s="71" t="str">
        <f>F64</f>
        <v>n/a</v>
      </c>
      <c r="C124" s="383" t="s">
        <v>223</v>
      </c>
      <c r="D124" s="384"/>
      <c r="E124" s="72">
        <f>IF(E41=0,0,(F41^0.8)*(((1000/IF(B124&gt;95,95,IF(B124&lt;50,50,B124)))-9)^0.7)/(1140*E41^0.5)*60)</f>
        <v>0</v>
      </c>
      <c r="F124" s="423"/>
      <c r="G124" s="64"/>
    </row>
    <row r="125" spans="1:7" ht="57.6" customHeight="1" thickBot="1" x14ac:dyDescent="0.35">
      <c r="A125" s="124" t="s">
        <v>171</v>
      </c>
      <c r="B125" s="365"/>
      <c r="C125" s="366"/>
      <c r="D125" s="366"/>
      <c r="E125" s="366"/>
      <c r="F125" s="366"/>
      <c r="G125" s="367"/>
    </row>
  </sheetData>
  <sheetProtection algorithmName="SHA-512" hashValue="8P24TXDWPemMX282kv+Sqzfx8ihnEutnWaMmLYlgSNGS13To7p3sZrDUGjnyTPDD9gBR75UUkXCUC30t4frlQw==" saltValue="ZRNLQnh/64LxmMNuTk7MLA==" spinCount="100000" sheet="1" objects="1" scenarios="1"/>
  <dataConsolidate/>
  <mergeCells count="67">
    <mergeCell ref="A38:G38"/>
    <mergeCell ref="D2:F2"/>
    <mergeCell ref="D3:F3"/>
    <mergeCell ref="D4:F4"/>
    <mergeCell ref="D5:F5"/>
    <mergeCell ref="D6:F6"/>
    <mergeCell ref="B8:D8"/>
    <mergeCell ref="A13:F13"/>
    <mergeCell ref="G14:G15"/>
    <mergeCell ref="A21:G21"/>
    <mergeCell ref="A22:F22"/>
    <mergeCell ref="B31:E31"/>
    <mergeCell ref="E68:F68"/>
    <mergeCell ref="A39:B41"/>
    <mergeCell ref="A44:C44"/>
    <mergeCell ref="A45:C45"/>
    <mergeCell ref="A48:G48"/>
    <mergeCell ref="C49:D49"/>
    <mergeCell ref="C50:D50"/>
    <mergeCell ref="C51:D51"/>
    <mergeCell ref="C52:D52"/>
    <mergeCell ref="C53:D53"/>
    <mergeCell ref="C54:D54"/>
    <mergeCell ref="C68:D68"/>
    <mergeCell ref="A87:G87"/>
    <mergeCell ref="C70:G70"/>
    <mergeCell ref="B71:G71"/>
    <mergeCell ref="C75:D75"/>
    <mergeCell ref="C76:D76"/>
    <mergeCell ref="C77:G77"/>
    <mergeCell ref="D78:E78"/>
    <mergeCell ref="A81:A84"/>
    <mergeCell ref="B81:D81"/>
    <mergeCell ref="B82:D82"/>
    <mergeCell ref="B83:D83"/>
    <mergeCell ref="B84:D84"/>
    <mergeCell ref="C103:D103"/>
    <mergeCell ref="E103:F103"/>
    <mergeCell ref="B88:G88"/>
    <mergeCell ref="C90:D90"/>
    <mergeCell ref="E90:F90"/>
    <mergeCell ref="C91:G91"/>
    <mergeCell ref="E93:F93"/>
    <mergeCell ref="A94:C95"/>
    <mergeCell ref="E94:F94"/>
    <mergeCell ref="E95:G96"/>
    <mergeCell ref="B97:C97"/>
    <mergeCell ref="F97:G97"/>
    <mergeCell ref="A99:G99"/>
    <mergeCell ref="C100:D100"/>
    <mergeCell ref="B101:G101"/>
    <mergeCell ref="C104:G104"/>
    <mergeCell ref="B105:F105"/>
    <mergeCell ref="A110:G110"/>
    <mergeCell ref="C111:D111"/>
    <mergeCell ref="F111:F112"/>
    <mergeCell ref="C112:D112"/>
    <mergeCell ref="C123:D123"/>
    <mergeCell ref="F123:F124"/>
    <mergeCell ref="C124:D124"/>
    <mergeCell ref="B125:G125"/>
    <mergeCell ref="B113:G113"/>
    <mergeCell ref="C115:D115"/>
    <mergeCell ref="E115:F115"/>
    <mergeCell ref="C116:G116"/>
    <mergeCell ref="B117:F117"/>
    <mergeCell ref="A122:G122"/>
  </mergeCells>
  <conditionalFormatting sqref="E68:F68">
    <cfRule type="expression" dxfId="36" priority="36">
      <formula>$F$67=2</formula>
    </cfRule>
  </conditionalFormatting>
  <conditionalFormatting sqref="E90:F90">
    <cfRule type="expression" dxfId="35" priority="35">
      <formula>$F$89=2</formula>
    </cfRule>
  </conditionalFormatting>
  <conditionalFormatting sqref="E103:F103">
    <cfRule type="expression" dxfId="34" priority="34">
      <formula>$F$102=2</formula>
    </cfRule>
  </conditionalFormatting>
  <conditionalFormatting sqref="E115:F115">
    <cfRule type="expression" dxfId="33" priority="33">
      <formula>$F$114=2</formula>
    </cfRule>
  </conditionalFormatting>
  <conditionalFormatting sqref="B105:F105 D108">
    <cfRule type="expression" dxfId="32" priority="32">
      <formula>$F$102=1</formula>
    </cfRule>
  </conditionalFormatting>
  <conditionalFormatting sqref="D106">
    <cfRule type="expression" dxfId="31" priority="31">
      <formula>$F$102=1</formula>
    </cfRule>
  </conditionalFormatting>
  <conditionalFormatting sqref="B117:F117 D120">
    <cfRule type="expression" dxfId="30" priority="30">
      <formula>$F$114=1</formula>
    </cfRule>
  </conditionalFormatting>
  <conditionalFormatting sqref="B82:D82 B83:B84 E82:E84">
    <cfRule type="expression" dxfId="29" priority="37">
      <formula>$F$79&gt;0</formula>
    </cfRule>
  </conditionalFormatting>
  <conditionalFormatting sqref="E97">
    <cfRule type="expression" dxfId="28" priority="29">
      <formula>$G$94=TRUE</formula>
    </cfRule>
  </conditionalFormatting>
  <conditionalFormatting sqref="D119">
    <cfRule type="expression" dxfId="27" priority="28">
      <formula>$F$114=1</formula>
    </cfRule>
  </conditionalFormatting>
  <conditionalFormatting sqref="D118">
    <cfRule type="expression" dxfId="26" priority="27">
      <formula>$F$114=1</formula>
    </cfRule>
  </conditionalFormatting>
  <conditionalFormatting sqref="D107">
    <cfRule type="expression" dxfId="25" priority="26">
      <formula>$F$102=1</formula>
    </cfRule>
  </conditionalFormatting>
  <conditionalFormatting sqref="C64">
    <cfRule type="expression" dxfId="24" priority="25">
      <formula>$C$64="n/a"</formula>
    </cfRule>
  </conditionalFormatting>
  <conditionalFormatting sqref="B82:E84">
    <cfRule type="expression" dxfId="23" priority="24">
      <formula>$F$79="N/A"</formula>
    </cfRule>
  </conditionalFormatting>
  <conditionalFormatting sqref="C61">
    <cfRule type="expression" dxfId="22" priority="21">
      <formula>C61="n/a"</formula>
    </cfRule>
    <cfRule type="expression" dxfId="21" priority="22">
      <formula>C61="No"</formula>
    </cfRule>
    <cfRule type="expression" dxfId="20" priority="23">
      <formula>C61="Yes"</formula>
    </cfRule>
  </conditionalFormatting>
  <conditionalFormatting sqref="B61">
    <cfRule type="expression" dxfId="19" priority="18">
      <formula>B61="n/a"</formula>
    </cfRule>
    <cfRule type="expression" dxfId="18" priority="19">
      <formula>B61="No"</formula>
    </cfRule>
    <cfRule type="expression" dxfId="17" priority="20">
      <formula>B61="Yes"</formula>
    </cfRule>
  </conditionalFormatting>
  <conditionalFormatting sqref="D61:F61">
    <cfRule type="expression" dxfId="16" priority="15">
      <formula>D61="n/a"</formula>
    </cfRule>
    <cfRule type="expression" dxfId="15" priority="16">
      <formula>D61="No"</formula>
    </cfRule>
    <cfRule type="expression" dxfId="14" priority="17">
      <formula>D61="Yes"</formula>
    </cfRule>
  </conditionalFormatting>
  <conditionalFormatting sqref="B70">
    <cfRule type="expression" dxfId="13" priority="12">
      <formula>B70="n/a"</formula>
    </cfRule>
    <cfRule type="expression" dxfId="12" priority="13">
      <formula>B70="No"</formula>
    </cfRule>
    <cfRule type="expression" dxfId="11" priority="14">
      <formula>B70="Yes"</formula>
    </cfRule>
  </conditionalFormatting>
  <conditionalFormatting sqref="B91">
    <cfRule type="expression" dxfId="10" priority="9">
      <formula>B91="n/a"</formula>
    </cfRule>
    <cfRule type="expression" dxfId="9" priority="10">
      <formula>B91="No"</formula>
    </cfRule>
    <cfRule type="expression" dxfId="8" priority="11">
      <formula>B91="Yes"</formula>
    </cfRule>
  </conditionalFormatting>
  <conditionalFormatting sqref="B104">
    <cfRule type="expression" dxfId="7" priority="6">
      <formula>B104="n/a"</formula>
    </cfRule>
    <cfRule type="expression" dxfId="6" priority="7">
      <formula>B104="No"</formula>
    </cfRule>
    <cfRule type="expression" dxfId="5" priority="8">
      <formula>B104="Yes"</formula>
    </cfRule>
  </conditionalFormatting>
  <conditionalFormatting sqref="B116">
    <cfRule type="expression" dxfId="4" priority="3">
      <formula>B116="n/a"</formula>
    </cfRule>
    <cfRule type="expression" dxfId="3" priority="4">
      <formula>B116="No"</formula>
    </cfRule>
    <cfRule type="expression" dxfId="2" priority="5">
      <formula>B116="Yes"</formula>
    </cfRule>
  </conditionalFormatting>
  <conditionalFormatting sqref="F75">
    <cfRule type="expression" dxfId="1" priority="2">
      <formula>$E$75&gt;=5%</formula>
    </cfRule>
  </conditionalFormatting>
  <conditionalFormatting sqref="F76">
    <cfRule type="expression" dxfId="0" priority="1">
      <formula>$E$76&gt;0</formula>
    </cfRule>
  </conditionalFormatting>
  <dataValidations count="2">
    <dataValidation type="decimal" allowBlank="1" showInputMessage="1" showErrorMessage="1" errorTitle="Invalid Latitude!" error="You've entered a latitude that is not in Vermont." sqref="D5:F5" xr:uid="{F0023916-AD84-4E10-9883-524A12C546BA}">
      <formula1>42.72</formula1>
      <formula2>45.02</formula2>
    </dataValidation>
    <dataValidation type="decimal" allowBlank="1" showInputMessage="1" showErrorMessage="1" errorTitle="Invalid Longitude" error="You've entered a longitude outside of Vermont.  Longitude values in VT should always be negative." sqref="D6:F6" xr:uid="{04208E45-6B7A-41D1-919E-E410F8D71245}">
      <formula1>-73.732</formula1>
      <formula2>-71.46</formula2>
    </dataValidation>
  </dataValidations>
  <hyperlinks>
    <hyperlink ref="E8" r:id="rId1" xr:uid="{26C9F253-9DE0-4BB9-A065-A5CB06AB37F4}"/>
  </hyperlinks>
  <pageMargins left="0.5" right="0.5" top="0.75" bottom="0.75" header="0.3" footer="0.3"/>
  <pageSetup orientation="portrait" r:id="rId2"/>
  <headerFooter>
    <oddHeader>&amp;C&amp;"-,Bold"&amp;14Vermont Operational Stormwater Permit - Standards Compliance Workbook</oddHeader>
    <oddFooter>&amp;LLast Updated 11/20/2017
&amp;R&amp;A: 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38241" r:id="rId5" name="Group Box 1">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38242" r:id="rId6" name="Option Button 2">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38243" r:id="rId7" name="Option Button 3">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38244" r:id="rId8" name="Group Box 4">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38245" r:id="rId9" name="Option Button 5">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38246" r:id="rId10" name="Option Button 6">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38247" r:id="rId11" name="Group Box 7">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38248" r:id="rId12" name="Option Button 8">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38249" r:id="rId13" name="Option Button 9">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38250" r:id="rId14" name="Group Box 10">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38251" r:id="rId15" name="Option Button 11">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38252" r:id="rId16" name="Option Button 12">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38253" r:id="rId17" name="Group Box 13">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38254" r:id="rId18" name="Option Button 14">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38255" r:id="rId19" name="Option Button 15">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38256" r:id="rId20" name="Check Box 16">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38257" r:id="rId21" name="Group Box 17">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38258" r:id="rId22" name="Option Button 18">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38259" r:id="rId23" name="Option Button 19">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38260" r:id="rId24" name="Group Box 20">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38261" r:id="rId25" name="Group Box 2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38262" r:id="rId26" name="Option Button 2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38263" r:id="rId27" name="Option Button 2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38264" r:id="rId28" name="Option Button 24">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38265" r:id="rId29" name="Option Button 25">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26A2DEC6-41AA-42E6-B098-8D8A1FDFA869}">
          <x14:formula1>
            <xm:f>Lookup!$G$11:$G$23</xm:f>
          </x14:formula1>
          <xm:sqref>A50:A54 C50:D54</xm:sqref>
        </x14:dataValidation>
        <x14:dataValidation type="list" allowBlank="1" showInputMessage="1" showErrorMessage="1" xr:uid="{E52525CF-6F9E-488A-8F39-7FF5BC8923A4}">
          <x14:formula1>
            <xm:f>Lookup!$G$12:$G$23</xm:f>
          </x14:formula1>
          <xm:sqref>A55</xm:sqref>
        </x14:dataValidation>
        <x14:dataValidation type="list" allowBlank="1" showInputMessage="1" showErrorMessage="1" xr:uid="{C420FEC3-431C-4065-8139-5A7D75C5394C}">
          <x14:formula1>
            <xm:f>Lookup!$H$13:$H$19</xm:f>
          </x14:formula1>
          <xm:sqref>C82:D82 B82:B84</xm:sqref>
        </x14:dataValidation>
        <x14:dataValidation type="list" allowBlank="1" showInputMessage="1" showErrorMessage="1" xr:uid="{B6CA9CA5-65F2-4327-A634-914E5A544950}">
          <x14:formula1>
            <xm:f>Lookup!$J$4:$J$8</xm:f>
          </x14:formula1>
          <xm:sqref>E115:F115</xm:sqref>
        </x14:dataValidation>
        <x14:dataValidation type="list" allowBlank="1" showInputMessage="1" showErrorMessage="1" xr:uid="{EAE8E042-288E-41F3-8969-943871ED5C2D}">
          <x14:formula1>
            <xm:f>Lookup!$I$4:$I$8</xm:f>
          </x14:formula1>
          <xm:sqref>E103:F103</xm:sqref>
        </x14:dataValidation>
        <x14:dataValidation type="list" allowBlank="1" showInputMessage="1" showErrorMessage="1" xr:uid="{1D4B8882-E8A7-49AE-A156-D0A92810C3D0}">
          <x14:formula1>
            <xm:f>Lookup!$H$4:$H$7</xm:f>
          </x14:formula1>
          <xm:sqref>E90:F90</xm:sqref>
        </x14:dataValidation>
        <x14:dataValidation type="list" allowBlank="1" showInputMessage="1" showErrorMessage="1" xr:uid="{DB6C4883-6E4A-4212-AC84-D2AD9DF0AC9A}">
          <x14:formula1>
            <xm:f>Lookup!$G$3:$G$6</xm:f>
          </x14:formula1>
          <xm:sqref>E68:F68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M46"/>
  <sheetViews>
    <sheetView workbookViewId="0">
      <selection activeCell="E17" sqref="E17"/>
    </sheetView>
  </sheetViews>
  <sheetFormatPr defaultRowHeight="14.4" x14ac:dyDescent="0.3"/>
  <cols>
    <col min="1" max="1" width="20.33203125" bestFit="1" customWidth="1"/>
    <col min="7" max="8" width="23.109375" customWidth="1"/>
    <col min="9" max="9" width="32.109375" customWidth="1"/>
    <col min="10" max="10" width="25.21875" bestFit="1" customWidth="1"/>
  </cols>
  <sheetData>
    <row r="1" spans="1:13" ht="15.6" x14ac:dyDescent="0.3">
      <c r="A1" s="12" t="s">
        <v>10</v>
      </c>
      <c r="G1" s="435" t="s">
        <v>45</v>
      </c>
      <c r="H1" s="435"/>
      <c r="I1" s="435"/>
      <c r="J1" s="435"/>
      <c r="L1" t="s">
        <v>188</v>
      </c>
      <c r="M1" t="s">
        <v>189</v>
      </c>
    </row>
    <row r="2" spans="1:13" x14ac:dyDescent="0.3">
      <c r="A2" s="37"/>
      <c r="B2" s="436" t="s">
        <v>1</v>
      </c>
      <c r="C2" s="436"/>
      <c r="D2" s="436"/>
      <c r="E2" s="436"/>
      <c r="G2" s="51" t="s">
        <v>78</v>
      </c>
      <c r="H2" s="37" t="s">
        <v>46</v>
      </c>
      <c r="I2" s="37" t="s">
        <v>47</v>
      </c>
      <c r="J2" s="37" t="s">
        <v>48</v>
      </c>
      <c r="M2" s="19" t="s">
        <v>34</v>
      </c>
    </row>
    <row r="3" spans="1:13" x14ac:dyDescent="0.3">
      <c r="A3" s="38" t="s">
        <v>8</v>
      </c>
      <c r="B3" s="39" t="s">
        <v>2</v>
      </c>
      <c r="C3" s="39" t="s">
        <v>3</v>
      </c>
      <c r="D3" s="39" t="s">
        <v>4</v>
      </c>
      <c r="E3" s="39" t="s">
        <v>5</v>
      </c>
      <c r="G3" s="2"/>
      <c r="H3" s="35"/>
      <c r="I3" s="35"/>
      <c r="J3" s="35"/>
      <c r="L3" s="53" t="s">
        <v>159</v>
      </c>
      <c r="M3" s="53" t="s">
        <v>192</v>
      </c>
    </row>
    <row r="4" spans="1:13" x14ac:dyDescent="0.3">
      <c r="A4" s="4" t="s">
        <v>6</v>
      </c>
      <c r="B4" s="2">
        <v>39</v>
      </c>
      <c r="C4" s="2">
        <v>61</v>
      </c>
      <c r="D4" s="2">
        <v>74</v>
      </c>
      <c r="E4" s="2">
        <v>80</v>
      </c>
      <c r="G4" s="53" t="s">
        <v>159</v>
      </c>
      <c r="H4" s="53" t="s">
        <v>159</v>
      </c>
      <c r="I4" s="53" t="s">
        <v>159</v>
      </c>
      <c r="J4" s="53" t="s">
        <v>159</v>
      </c>
      <c r="L4" s="2" t="s">
        <v>51</v>
      </c>
      <c r="M4" t="s">
        <v>195</v>
      </c>
    </row>
    <row r="5" spans="1:13" x14ac:dyDescent="0.3">
      <c r="A5" s="4" t="s">
        <v>38</v>
      </c>
      <c r="B5" s="2">
        <v>30</v>
      </c>
      <c r="C5" s="2">
        <v>58</v>
      </c>
      <c r="D5" s="2">
        <v>71</v>
      </c>
      <c r="E5" s="2">
        <v>78</v>
      </c>
      <c r="G5" s="52" t="s">
        <v>79</v>
      </c>
      <c r="H5" s="35" t="s">
        <v>101</v>
      </c>
      <c r="I5" s="35" t="s">
        <v>101</v>
      </c>
      <c r="J5" s="2" t="s">
        <v>51</v>
      </c>
      <c r="L5" s="35" t="s">
        <v>101</v>
      </c>
      <c r="M5" s="151" t="s">
        <v>193</v>
      </c>
    </row>
    <row r="6" spans="1:13" x14ac:dyDescent="0.3">
      <c r="A6" s="4" t="s">
        <v>7</v>
      </c>
      <c r="B6" s="2">
        <v>30</v>
      </c>
      <c r="C6" s="2">
        <v>55</v>
      </c>
      <c r="D6" s="2">
        <v>70</v>
      </c>
      <c r="E6" s="2">
        <v>77</v>
      </c>
      <c r="G6" s="52" t="s">
        <v>162</v>
      </c>
      <c r="H6" s="2" t="s">
        <v>49</v>
      </c>
      <c r="I6" s="2" t="s">
        <v>50</v>
      </c>
      <c r="J6" s="35" t="s">
        <v>101</v>
      </c>
      <c r="L6" s="2" t="s">
        <v>116</v>
      </c>
      <c r="M6" s="152" t="s">
        <v>116</v>
      </c>
    </row>
    <row r="7" spans="1:13" x14ac:dyDescent="0.3">
      <c r="A7" s="4" t="s">
        <v>37</v>
      </c>
      <c r="B7" s="2">
        <v>96</v>
      </c>
      <c r="C7" s="2">
        <v>96</v>
      </c>
      <c r="D7" s="2">
        <v>96</v>
      </c>
      <c r="E7" s="2">
        <v>96</v>
      </c>
      <c r="H7" s="36" t="s">
        <v>116</v>
      </c>
      <c r="I7" s="36" t="s">
        <v>161</v>
      </c>
      <c r="J7" s="2" t="s">
        <v>116</v>
      </c>
      <c r="L7" s="53" t="s">
        <v>161</v>
      </c>
      <c r="M7" s="152" t="s">
        <v>194</v>
      </c>
    </row>
    <row r="8" spans="1:13" ht="28.8" x14ac:dyDescent="0.3">
      <c r="A8" s="18" t="s">
        <v>128</v>
      </c>
      <c r="B8" s="2">
        <v>98</v>
      </c>
      <c r="C8" s="2">
        <v>98</v>
      </c>
      <c r="D8" s="2">
        <v>98</v>
      </c>
      <c r="E8" s="2">
        <v>98</v>
      </c>
      <c r="I8" s="36" t="s">
        <v>116</v>
      </c>
      <c r="J8" s="53" t="s">
        <v>161</v>
      </c>
      <c r="L8" s="150" t="s">
        <v>50</v>
      </c>
      <c r="M8" s="153" t="s">
        <v>190</v>
      </c>
    </row>
    <row r="9" spans="1:13" x14ac:dyDescent="0.3">
      <c r="G9" s="435" t="s">
        <v>114</v>
      </c>
      <c r="H9" s="435"/>
      <c r="I9" s="435"/>
      <c r="L9" s="2" t="s">
        <v>49</v>
      </c>
      <c r="M9" s="153" t="s">
        <v>191</v>
      </c>
    </row>
    <row r="10" spans="1:13" ht="28.8" x14ac:dyDescent="0.3">
      <c r="A10" s="10" t="s">
        <v>11</v>
      </c>
      <c r="G10" s="50" t="s">
        <v>64</v>
      </c>
      <c r="H10" s="437" t="s">
        <v>83</v>
      </c>
      <c r="I10" s="438"/>
      <c r="J10" s="51" t="s">
        <v>98</v>
      </c>
    </row>
    <row r="11" spans="1:13" x14ac:dyDescent="0.3">
      <c r="A11" s="37"/>
      <c r="B11" s="436" t="s">
        <v>1</v>
      </c>
      <c r="C11" s="436"/>
      <c r="D11" s="436"/>
      <c r="E11" s="436"/>
      <c r="G11" s="2" t="s">
        <v>208</v>
      </c>
      <c r="H11" s="37" t="s">
        <v>137</v>
      </c>
      <c r="I11" s="37" t="s">
        <v>138</v>
      </c>
      <c r="J11" s="105"/>
    </row>
    <row r="12" spans="1:13" x14ac:dyDescent="0.3">
      <c r="A12" s="38" t="s">
        <v>8</v>
      </c>
      <c r="B12" s="39" t="s">
        <v>2</v>
      </c>
      <c r="C12" s="39" t="s">
        <v>3</v>
      </c>
      <c r="D12" s="39" t="s">
        <v>4</v>
      </c>
      <c r="E12" s="39" t="s">
        <v>5</v>
      </c>
      <c r="G12" s="2" t="s">
        <v>65</v>
      </c>
      <c r="H12" s="2"/>
      <c r="I12" s="2"/>
      <c r="J12" s="106" t="s">
        <v>85</v>
      </c>
    </row>
    <row r="13" spans="1:13" x14ac:dyDescent="0.3">
      <c r="A13" s="4" t="s">
        <v>6</v>
      </c>
      <c r="B13" s="2">
        <f>1000/B4-10</f>
        <v>15.641025641025642</v>
      </c>
      <c r="C13" s="2">
        <f t="shared" ref="C13:E13" si="0">1000/C4-10</f>
        <v>6.3934426229508183</v>
      </c>
      <c r="D13" s="2">
        <f t="shared" si="0"/>
        <v>3.513513513513514</v>
      </c>
      <c r="E13" s="2">
        <f t="shared" si="0"/>
        <v>2.5</v>
      </c>
      <c r="G13" s="44" t="s">
        <v>207</v>
      </c>
      <c r="H13" s="2" t="s">
        <v>213</v>
      </c>
      <c r="I13" s="2" t="s">
        <v>139</v>
      </c>
      <c r="J13" s="106" t="s">
        <v>86</v>
      </c>
    </row>
    <row r="14" spans="1:13" x14ac:dyDescent="0.3">
      <c r="A14" s="4" t="s">
        <v>38</v>
      </c>
      <c r="B14" s="2">
        <f t="shared" ref="B14:E15" si="1">1000/B5-10</f>
        <v>23.333333333333336</v>
      </c>
      <c r="C14" s="2">
        <f t="shared" si="1"/>
        <v>7.2413793103448292</v>
      </c>
      <c r="D14" s="2">
        <f t="shared" si="1"/>
        <v>4.0845070422535219</v>
      </c>
      <c r="E14" s="2">
        <f t="shared" si="1"/>
        <v>2.8205128205128212</v>
      </c>
      <c r="G14" s="2" t="s">
        <v>212</v>
      </c>
      <c r="H14" s="2" t="s">
        <v>84</v>
      </c>
      <c r="I14" s="2" t="s">
        <v>140</v>
      </c>
      <c r="J14" s="106" t="s">
        <v>87</v>
      </c>
    </row>
    <row r="15" spans="1:13" x14ac:dyDescent="0.3">
      <c r="A15" s="4" t="s">
        <v>7</v>
      </c>
      <c r="B15" s="2">
        <f t="shared" si="1"/>
        <v>23.333333333333336</v>
      </c>
      <c r="C15" s="2">
        <f t="shared" ref="C15:E15" si="2">1000/C6-10</f>
        <v>8.1818181818181834</v>
      </c>
      <c r="D15" s="2">
        <f t="shared" si="2"/>
        <v>4.2857142857142865</v>
      </c>
      <c r="E15" s="2">
        <f t="shared" si="2"/>
        <v>2.9870129870129869</v>
      </c>
      <c r="G15" s="2" t="s">
        <v>66</v>
      </c>
      <c r="H15" s="2" t="s">
        <v>89</v>
      </c>
      <c r="I15" s="2" t="s">
        <v>140</v>
      </c>
      <c r="J15" s="106" t="s">
        <v>99</v>
      </c>
    </row>
    <row r="16" spans="1:13" x14ac:dyDescent="0.3">
      <c r="A16" s="4" t="s">
        <v>37</v>
      </c>
      <c r="B16" s="2">
        <f>1000/B7-10</f>
        <v>0.41666666666666607</v>
      </c>
      <c r="C16" s="2">
        <f t="shared" ref="C16:E16" si="3">1000/C7-10</f>
        <v>0.41666666666666607</v>
      </c>
      <c r="D16" s="2">
        <f t="shared" si="3"/>
        <v>0.41666666666666607</v>
      </c>
      <c r="E16" s="2">
        <f t="shared" si="3"/>
        <v>0.41666666666666607</v>
      </c>
      <c r="G16" s="2" t="s">
        <v>27</v>
      </c>
      <c r="H16" s="2" t="s">
        <v>85</v>
      </c>
      <c r="I16" s="2" t="s">
        <v>140</v>
      </c>
      <c r="J16" s="106" t="s">
        <v>100</v>
      </c>
    </row>
    <row r="17" spans="1:9" ht="43.2" x14ac:dyDescent="0.3">
      <c r="A17" s="18" t="s">
        <v>63</v>
      </c>
      <c r="B17" s="2">
        <f>1000/B8-10</f>
        <v>0.20408163265306101</v>
      </c>
      <c r="C17" s="2">
        <f t="shared" ref="C17:E17" si="4">1000/C8-10</f>
        <v>0.20408163265306101</v>
      </c>
      <c r="D17" s="2">
        <f t="shared" si="4"/>
        <v>0.20408163265306101</v>
      </c>
      <c r="E17" s="2">
        <f t="shared" si="4"/>
        <v>0.20408163265306101</v>
      </c>
      <c r="G17" s="2" t="s">
        <v>69</v>
      </c>
      <c r="H17" s="2" t="s">
        <v>86</v>
      </c>
      <c r="I17" s="2" t="s">
        <v>140</v>
      </c>
    </row>
    <row r="18" spans="1:9" x14ac:dyDescent="0.3">
      <c r="G18" s="2" t="s">
        <v>26</v>
      </c>
      <c r="H18" s="2" t="s">
        <v>87</v>
      </c>
      <c r="I18" s="2" t="s">
        <v>139</v>
      </c>
    </row>
    <row r="19" spans="1:9" ht="15.6" x14ac:dyDescent="0.3">
      <c r="A19" s="10" t="s">
        <v>12</v>
      </c>
      <c r="G19" s="2" t="s">
        <v>67</v>
      </c>
      <c r="H19" s="36" t="s">
        <v>88</v>
      </c>
      <c r="I19" s="2" t="s">
        <v>141</v>
      </c>
    </row>
    <row r="20" spans="1:9" x14ac:dyDescent="0.3">
      <c r="A20" s="40" t="s">
        <v>1</v>
      </c>
      <c r="B20" s="39" t="s">
        <v>2</v>
      </c>
      <c r="C20" s="39" t="s">
        <v>3</v>
      </c>
      <c r="D20" s="39" t="s">
        <v>4</v>
      </c>
      <c r="E20" s="39" t="s">
        <v>5</v>
      </c>
      <c r="G20" s="2" t="s">
        <v>68</v>
      </c>
    </row>
    <row r="21" spans="1:9" x14ac:dyDescent="0.3">
      <c r="A21" s="5" t="s">
        <v>28</v>
      </c>
      <c r="B21" s="2">
        <v>0.6</v>
      </c>
      <c r="C21" s="2">
        <v>0.35</v>
      </c>
      <c r="D21" s="2">
        <v>0.25</v>
      </c>
      <c r="E21" s="2">
        <v>0</v>
      </c>
      <c r="G21" s="2" t="s">
        <v>25</v>
      </c>
    </row>
    <row r="22" spans="1:9" x14ac:dyDescent="0.3">
      <c r="G22" s="2" t="s">
        <v>70</v>
      </c>
    </row>
    <row r="23" spans="1:9" x14ac:dyDescent="0.3">
      <c r="G23" s="35" t="s">
        <v>35</v>
      </c>
    </row>
    <row r="24" spans="1:9" x14ac:dyDescent="0.3">
      <c r="G24" s="37" t="s">
        <v>115</v>
      </c>
      <c r="H24" s="37" t="s">
        <v>163</v>
      </c>
    </row>
    <row r="25" spans="1:9" x14ac:dyDescent="0.3">
      <c r="G25" s="2"/>
      <c r="H25" s="2" t="s">
        <v>164</v>
      </c>
    </row>
    <row r="26" spans="1:9" x14ac:dyDescent="0.3">
      <c r="G26" s="2" t="s">
        <v>122</v>
      </c>
      <c r="H26" s="2" t="s">
        <v>165</v>
      </c>
    </row>
    <row r="27" spans="1:9" x14ac:dyDescent="0.3">
      <c r="G27" s="2" t="s">
        <v>116</v>
      </c>
    </row>
    <row r="36" spans="1:4" ht="15.6" x14ac:dyDescent="0.3">
      <c r="A36" s="10" t="s">
        <v>20</v>
      </c>
    </row>
    <row r="37" spans="1:4" x14ac:dyDescent="0.3">
      <c r="A37" s="6"/>
      <c r="B37" s="410" t="s">
        <v>14</v>
      </c>
      <c r="C37" s="410"/>
    </row>
    <row r="38" spans="1:4" x14ac:dyDescent="0.3">
      <c r="A38" s="3" t="s">
        <v>15</v>
      </c>
      <c r="B38" s="3" t="s">
        <v>16</v>
      </c>
      <c r="C38" s="3" t="s">
        <v>17</v>
      </c>
    </row>
    <row r="39" spans="1:4" x14ac:dyDescent="0.3">
      <c r="A39" s="3" t="s">
        <v>18</v>
      </c>
      <c r="B39" s="3">
        <v>35</v>
      </c>
      <c r="C39" s="3">
        <v>50</v>
      </c>
    </row>
    <row r="40" spans="1:4" x14ac:dyDescent="0.3">
      <c r="A40" s="3" t="s">
        <v>19</v>
      </c>
      <c r="B40" s="3">
        <v>65</v>
      </c>
      <c r="C40" s="3">
        <v>85</v>
      </c>
    </row>
    <row r="41" spans="1:4" x14ac:dyDescent="0.3">
      <c r="A41" s="7"/>
      <c r="B41" s="7"/>
      <c r="C41" s="7"/>
    </row>
    <row r="42" spans="1:4" ht="15.6" x14ac:dyDescent="0.3">
      <c r="A42" s="11" t="s">
        <v>21</v>
      </c>
      <c r="B42" s="7"/>
      <c r="C42" s="7"/>
    </row>
    <row r="43" spans="1:4" x14ac:dyDescent="0.3">
      <c r="A43" s="8"/>
      <c r="B43" s="410" t="s">
        <v>14</v>
      </c>
      <c r="C43" s="410"/>
      <c r="D43" s="410"/>
    </row>
    <row r="44" spans="1:4" x14ac:dyDescent="0.3">
      <c r="A44" s="9" t="s">
        <v>15</v>
      </c>
      <c r="B44" s="3" t="s">
        <v>22</v>
      </c>
      <c r="C44" s="3" t="s">
        <v>23</v>
      </c>
      <c r="D44" s="3" t="s">
        <v>24</v>
      </c>
    </row>
    <row r="45" spans="1:4" x14ac:dyDescent="0.3">
      <c r="A45" s="3" t="s">
        <v>18</v>
      </c>
      <c r="B45" s="3">
        <v>35</v>
      </c>
      <c r="C45" s="3">
        <v>50</v>
      </c>
      <c r="D45" s="3">
        <v>65</v>
      </c>
    </row>
    <row r="46" spans="1:4" x14ac:dyDescent="0.3">
      <c r="A46" s="3" t="s">
        <v>19</v>
      </c>
      <c r="B46" s="3">
        <v>65</v>
      </c>
      <c r="C46" s="3">
        <v>85</v>
      </c>
      <c r="D46" s="3">
        <v>105</v>
      </c>
    </row>
  </sheetData>
  <sheetProtection algorithmName="SHA-512" hashValue="/qXECI+0Mp3mDl2Vpaoc9H3HLTKjwmuCwXTt2jbajqRdLzxz9QbSS8UO/WDOu+l3IlSrTjlnPsw4Swu0iyCpMg==" saltValue="4BPsJ1qGW5j7mjJoO55A2g==" spinCount="100000" sheet="1" objects="1" scenarios="1"/>
  <mergeCells count="7">
    <mergeCell ref="G1:J1"/>
    <mergeCell ref="B2:E2"/>
    <mergeCell ref="B11:E11"/>
    <mergeCell ref="B37:C37"/>
    <mergeCell ref="B43:D43"/>
    <mergeCell ref="G9:I9"/>
    <mergeCell ref="H10:I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P85"/>
  <sheetViews>
    <sheetView tabSelected="1" view="pageLayout" topLeftCell="A7" zoomScaleNormal="100" workbookViewId="0">
      <selection activeCell="C22" sqref="C22:L22"/>
    </sheetView>
  </sheetViews>
  <sheetFormatPr defaultRowHeight="14.4" x14ac:dyDescent="0.3"/>
  <cols>
    <col min="1" max="1" width="3.33203125" customWidth="1"/>
    <col min="2" max="2" width="11.6640625" customWidth="1"/>
    <col min="3" max="3" width="7.33203125" style="135" customWidth="1"/>
    <col min="4" max="11" width="8" customWidth="1"/>
    <col min="12" max="12" width="8" style="114" customWidth="1"/>
    <col min="13" max="14" width="6.88671875" customWidth="1"/>
    <col min="15" max="15" width="8.6640625" customWidth="1"/>
    <col min="16" max="23" width="6.88671875" customWidth="1"/>
  </cols>
  <sheetData>
    <row r="1" spans="1:16" s="121" customFormat="1" ht="16.2" customHeight="1" x14ac:dyDescent="0.3">
      <c r="A1" s="317" t="s">
        <v>176</v>
      </c>
      <c r="B1" s="317"/>
      <c r="C1" s="324" t="s">
        <v>254</v>
      </c>
      <c r="D1" s="325"/>
      <c r="E1" s="325"/>
      <c r="F1" s="325"/>
      <c r="G1" s="326"/>
    </row>
    <row r="2" spans="1:16" s="121" customFormat="1" ht="15" customHeight="1" thickBot="1" x14ac:dyDescent="0.35">
      <c r="C2" s="170" t="s">
        <v>201</v>
      </c>
    </row>
    <row r="3" spans="1:16" s="107" customFormat="1" ht="17.399999999999999" customHeight="1" x14ac:dyDescent="0.3">
      <c r="A3" s="56" t="s">
        <v>152</v>
      </c>
      <c r="B3" s="57"/>
      <c r="C3" s="57"/>
      <c r="D3" s="57"/>
      <c r="E3" s="57"/>
      <c r="F3" s="57"/>
      <c r="G3" s="57"/>
      <c r="H3" s="57"/>
      <c r="I3" s="57"/>
      <c r="J3" s="57"/>
      <c r="K3" s="57"/>
      <c r="L3" s="58"/>
      <c r="N3" s="284"/>
      <c r="O3" s="284"/>
      <c r="P3" s="284"/>
    </row>
    <row r="4" spans="1:16" ht="47.4" customHeight="1" thickBot="1" x14ac:dyDescent="0.35">
      <c r="A4" s="318" t="s">
        <v>230</v>
      </c>
      <c r="B4" s="319"/>
      <c r="C4" s="319"/>
      <c r="D4" s="319"/>
      <c r="E4" s="319"/>
      <c r="F4" s="319"/>
      <c r="G4" s="319"/>
      <c r="H4" s="319"/>
      <c r="I4" s="319"/>
      <c r="J4" s="319"/>
      <c r="K4" s="319"/>
      <c r="L4" s="320"/>
      <c r="P4" s="284"/>
    </row>
    <row r="5" spans="1:16" ht="15" customHeight="1" x14ac:dyDescent="0.3">
      <c r="A5" s="156"/>
      <c r="B5" s="109"/>
      <c r="C5" s="138" t="s">
        <v>13</v>
      </c>
      <c r="D5" s="229" t="s">
        <v>124</v>
      </c>
      <c r="E5" s="229" t="s">
        <v>125</v>
      </c>
      <c r="F5" s="229" t="s">
        <v>126</v>
      </c>
      <c r="G5" s="229" t="s">
        <v>127</v>
      </c>
      <c r="H5" s="229" t="s">
        <v>154</v>
      </c>
      <c r="I5" s="229" t="s">
        <v>155</v>
      </c>
      <c r="J5" s="229" t="s">
        <v>156</v>
      </c>
      <c r="K5" s="229" t="s">
        <v>157</v>
      </c>
      <c r="L5" s="230" t="s">
        <v>158</v>
      </c>
      <c r="O5" s="181"/>
      <c r="P5" s="284"/>
    </row>
    <row r="6" spans="1:16" ht="15" customHeight="1" x14ac:dyDescent="0.3">
      <c r="A6" s="316" t="s">
        <v>133</v>
      </c>
      <c r="B6" s="137" t="s">
        <v>132</v>
      </c>
      <c r="C6" s="139">
        <f t="shared" ref="C6:C11" ca="1" si="0">SUM(D6:L6)</f>
        <v>3.59</v>
      </c>
      <c r="D6" s="142">
        <f ca="1">IFERROR(IF(INDIRECT(D$5&amp;"!F27")&lt;0.01,ROUNDUP(INDIRECT(D$5&amp;"!F27"),2),INDIRECT(D$5&amp;"!F27")),0)</f>
        <v>0.97</v>
      </c>
      <c r="E6" s="142">
        <f t="shared" ref="E6:L6" ca="1" si="1">IFERROR(IF(INDIRECT(E$5&amp;"!F27")&lt;0.01,ROUNDUP(INDIRECT(E$5&amp;"!F27"),2),INDIRECT(E$5&amp;"!F27")),0)</f>
        <v>0.39</v>
      </c>
      <c r="F6" s="142">
        <f t="shared" ca="1" si="1"/>
        <v>2.23</v>
      </c>
      <c r="G6" s="142">
        <f t="shared" ca="1" si="1"/>
        <v>0</v>
      </c>
      <c r="H6" s="142">
        <f t="shared" ca="1" si="1"/>
        <v>0</v>
      </c>
      <c r="I6" s="142">
        <f t="shared" ca="1" si="1"/>
        <v>0</v>
      </c>
      <c r="J6" s="142">
        <f t="shared" ca="1" si="1"/>
        <v>0</v>
      </c>
      <c r="K6" s="142">
        <f t="shared" ca="1" si="1"/>
        <v>0</v>
      </c>
      <c r="L6" s="158">
        <f t="shared" ca="1" si="1"/>
        <v>0</v>
      </c>
      <c r="O6" s="181"/>
      <c r="P6" s="284"/>
    </row>
    <row r="7" spans="1:16" ht="15" customHeight="1" x14ac:dyDescent="0.3">
      <c r="A7" s="316"/>
      <c r="B7" s="137" t="s">
        <v>131</v>
      </c>
      <c r="C7" s="139">
        <f t="shared" ca="1" si="0"/>
        <v>0</v>
      </c>
      <c r="D7" s="142">
        <f ca="1">IFERROR(IF(INDIRECT(D$5&amp;"!F30")&lt;0.01,ROUNDUP(INDIRECT(D$5&amp;"!F30"),2),INDIRECT(D$5&amp;"!F30")),0)</f>
        <v>0</v>
      </c>
      <c r="E7" s="142">
        <f t="shared" ref="E7:L7" ca="1" si="2">IFERROR(IF(INDIRECT(E$5&amp;"!F30")&lt;0.01,ROUNDUP(INDIRECT(E$5&amp;"!F30"),2),INDIRECT(E$5&amp;"!F30")),0)</f>
        <v>0</v>
      </c>
      <c r="F7" s="142">
        <f t="shared" ca="1" si="2"/>
        <v>0</v>
      </c>
      <c r="G7" s="142">
        <f t="shared" ca="1" si="2"/>
        <v>0</v>
      </c>
      <c r="H7" s="142">
        <f t="shared" ca="1" si="2"/>
        <v>0</v>
      </c>
      <c r="I7" s="142">
        <f t="shared" ca="1" si="2"/>
        <v>0</v>
      </c>
      <c r="J7" s="142">
        <f t="shared" ca="1" si="2"/>
        <v>0</v>
      </c>
      <c r="K7" s="142">
        <f t="shared" ca="1" si="2"/>
        <v>0</v>
      </c>
      <c r="L7" s="158">
        <f t="shared" ca="1" si="2"/>
        <v>0</v>
      </c>
    </row>
    <row r="8" spans="1:16" x14ac:dyDescent="0.3">
      <c r="A8" s="316"/>
      <c r="B8" s="282" t="s">
        <v>130</v>
      </c>
      <c r="C8" s="139">
        <f t="shared" ca="1" si="0"/>
        <v>0</v>
      </c>
      <c r="D8" s="142">
        <f ca="1">IFERROR(IF(INDIRECT(D$5&amp;"!F28")&lt;0.01,ROUNDUP(INDIRECT(D$5&amp;"!F28"),2),INDIRECT(D$5&amp;"!F28")),0)</f>
        <v>0</v>
      </c>
      <c r="E8" s="142">
        <f t="shared" ref="E8:L8" ca="1" si="3">IFERROR(IF(INDIRECT(E$5&amp;"!F28")&lt;0.01,ROUNDUP(INDIRECT(E$5&amp;"!F28"),2),INDIRECT(E$5&amp;"!F28")),0)</f>
        <v>0</v>
      </c>
      <c r="F8" s="142">
        <f t="shared" ca="1" si="3"/>
        <v>0</v>
      </c>
      <c r="G8" s="142">
        <f t="shared" ca="1" si="3"/>
        <v>0</v>
      </c>
      <c r="H8" s="142">
        <f t="shared" ca="1" si="3"/>
        <v>0</v>
      </c>
      <c r="I8" s="142">
        <f t="shared" ca="1" si="3"/>
        <v>0</v>
      </c>
      <c r="J8" s="142">
        <f t="shared" ca="1" si="3"/>
        <v>0</v>
      </c>
      <c r="K8" s="142">
        <f t="shared" ca="1" si="3"/>
        <v>0</v>
      </c>
      <c r="L8" s="158">
        <f t="shared" ca="1" si="3"/>
        <v>0</v>
      </c>
    </row>
    <row r="9" spans="1:16" ht="28.8" customHeight="1" x14ac:dyDescent="0.3">
      <c r="A9" s="316"/>
      <c r="B9" s="137" t="s">
        <v>252</v>
      </c>
      <c r="C9" s="139">
        <f t="shared" ca="1" si="0"/>
        <v>0</v>
      </c>
      <c r="D9" s="142">
        <f ca="1">IFERROR(IF(INDIRECT(D$5&amp;"!F31")&lt;0.01,ROUNDUP(INDIRECT(D$5&amp;"!F31"),2),INDIRECT(D$5&amp;"!F31")),0)</f>
        <v>0</v>
      </c>
      <c r="E9" s="142">
        <f t="shared" ref="E9:L9" ca="1" si="4">IFERROR(IF(INDIRECT(E$5&amp;"!F31")&lt;0.01,ROUNDUP(INDIRECT(E$5&amp;"!F31"),2),INDIRECT(E$5&amp;"!F31")),0)</f>
        <v>0</v>
      </c>
      <c r="F9" s="142">
        <f t="shared" ca="1" si="4"/>
        <v>0</v>
      </c>
      <c r="G9" s="142">
        <f t="shared" ca="1" si="4"/>
        <v>0</v>
      </c>
      <c r="H9" s="142">
        <f t="shared" ca="1" si="4"/>
        <v>0</v>
      </c>
      <c r="I9" s="142">
        <f t="shared" ca="1" si="4"/>
        <v>0</v>
      </c>
      <c r="J9" s="142">
        <f t="shared" ca="1" si="4"/>
        <v>0</v>
      </c>
      <c r="K9" s="142">
        <f t="shared" ca="1" si="4"/>
        <v>0</v>
      </c>
      <c r="L9" s="158">
        <f t="shared" ca="1" si="4"/>
        <v>0</v>
      </c>
    </row>
    <row r="10" spans="1:16" ht="15" customHeight="1" x14ac:dyDescent="0.3">
      <c r="A10" s="316"/>
      <c r="B10" s="137" t="s">
        <v>13</v>
      </c>
      <c r="C10" s="139">
        <f t="shared" ca="1" si="0"/>
        <v>3.59</v>
      </c>
      <c r="D10" s="142">
        <f ca="1">SUM(D6:D9)</f>
        <v>0.97</v>
      </c>
      <c r="E10" s="142">
        <f t="shared" ref="E10:L10" ca="1" si="5">SUM(E6:E9)</f>
        <v>0.39</v>
      </c>
      <c r="F10" s="142">
        <f t="shared" ca="1" si="5"/>
        <v>2.23</v>
      </c>
      <c r="G10" s="142">
        <f t="shared" ca="1" si="5"/>
        <v>0</v>
      </c>
      <c r="H10" s="142">
        <f t="shared" ca="1" si="5"/>
        <v>0</v>
      </c>
      <c r="I10" s="142">
        <f t="shared" ca="1" si="5"/>
        <v>0</v>
      </c>
      <c r="J10" s="142">
        <f t="shared" ca="1" si="5"/>
        <v>0</v>
      </c>
      <c r="K10" s="142">
        <f t="shared" ca="1" si="5"/>
        <v>0</v>
      </c>
      <c r="L10" s="158">
        <f t="shared" ca="1" si="5"/>
        <v>0</v>
      </c>
    </row>
    <row r="11" spans="1:16" ht="15" customHeight="1" thickBot="1" x14ac:dyDescent="0.35">
      <c r="A11" s="201"/>
      <c r="B11" s="200" t="s">
        <v>134</v>
      </c>
      <c r="C11" s="140">
        <f t="shared" ca="1" si="0"/>
        <v>11.68</v>
      </c>
      <c r="D11" s="142">
        <f ca="1">IFERROR(IF(INDIRECT(D$5&amp;"!F32")&lt;0.01,ROUNDUP(INDIRECT(D$5&amp;"!F32"),2),INDIRECT(D$5&amp;"!F32")),0)</f>
        <v>2.8</v>
      </c>
      <c r="E11" s="142">
        <f t="shared" ref="E11:L11" ca="1" si="6">IFERROR(IF(INDIRECT(E$5&amp;"!F32")&lt;0.01,ROUNDUP(INDIRECT(E$5&amp;"!F32"),2),INDIRECT(E$5&amp;"!F32")),0)</f>
        <v>2.44</v>
      </c>
      <c r="F11" s="142">
        <f t="shared" ca="1" si="6"/>
        <v>6.44</v>
      </c>
      <c r="G11" s="142">
        <f t="shared" ca="1" si="6"/>
        <v>0</v>
      </c>
      <c r="H11" s="142">
        <f t="shared" ca="1" si="6"/>
        <v>0</v>
      </c>
      <c r="I11" s="142">
        <f t="shared" ca="1" si="6"/>
        <v>0</v>
      </c>
      <c r="J11" s="142">
        <f t="shared" ca="1" si="6"/>
        <v>0</v>
      </c>
      <c r="K11" s="142">
        <f t="shared" ca="1" si="6"/>
        <v>0</v>
      </c>
      <c r="L11" s="158">
        <f t="shared" ca="1" si="6"/>
        <v>0</v>
      </c>
    </row>
    <row r="12" spans="1:16" s="181" customFormat="1" ht="15" customHeight="1" x14ac:dyDescent="0.3">
      <c r="A12" s="202"/>
      <c r="B12" s="327" t="s">
        <v>231</v>
      </c>
      <c r="C12" s="328"/>
      <c r="D12" s="203">
        <f ca="1">IFERROR(INDIRECT(D$5&amp;"!D5"),0)</f>
        <v>44.000010000000003</v>
      </c>
      <c r="E12" s="203">
        <f t="shared" ref="E12:L12" ca="1" si="7">IFERROR(INDIRECT(E$5&amp;"!D5"),0)</f>
        <v>44.000019999999999</v>
      </c>
      <c r="F12" s="203">
        <f t="shared" ca="1" si="7"/>
        <v>44.000030000000002</v>
      </c>
      <c r="G12" s="203">
        <f t="shared" ca="1" si="7"/>
        <v>0</v>
      </c>
      <c r="H12" s="203">
        <f t="shared" ca="1" si="7"/>
        <v>0</v>
      </c>
      <c r="I12" s="203">
        <f t="shared" ca="1" si="7"/>
        <v>0</v>
      </c>
      <c r="J12" s="203">
        <f t="shared" ca="1" si="7"/>
        <v>0</v>
      </c>
      <c r="K12" s="203">
        <f t="shared" ca="1" si="7"/>
        <v>0</v>
      </c>
      <c r="L12" s="204">
        <f t="shared" ca="1" si="7"/>
        <v>0</v>
      </c>
    </row>
    <row r="13" spans="1:16" s="181" customFormat="1" ht="15" customHeight="1" x14ac:dyDescent="0.3">
      <c r="A13" s="202"/>
      <c r="B13" s="329" t="s">
        <v>232</v>
      </c>
      <c r="C13" s="329"/>
      <c r="D13" s="199">
        <f ca="1">IFERROR(INDIRECT(D$5&amp;"!D6"),0)</f>
        <v>-73.000010000000003</v>
      </c>
      <c r="E13" s="199">
        <f t="shared" ref="E13:L13" ca="1" si="8">IFERROR(INDIRECT(E$5&amp;"!D6"),0)</f>
        <v>-73.000020000000006</v>
      </c>
      <c r="F13" s="199">
        <f t="shared" ca="1" si="8"/>
        <v>-73.000029999999995</v>
      </c>
      <c r="G13" s="199">
        <f t="shared" ca="1" si="8"/>
        <v>0</v>
      </c>
      <c r="H13" s="199">
        <f t="shared" ca="1" si="8"/>
        <v>0</v>
      </c>
      <c r="I13" s="199">
        <f t="shared" ca="1" si="8"/>
        <v>0</v>
      </c>
      <c r="J13" s="199">
        <f t="shared" ca="1" si="8"/>
        <v>0</v>
      </c>
      <c r="K13" s="199">
        <f t="shared" ca="1" si="8"/>
        <v>0</v>
      </c>
      <c r="L13" s="205">
        <f t="shared" ca="1" si="8"/>
        <v>0</v>
      </c>
    </row>
    <row r="14" spans="1:16" ht="70.2" customHeight="1" x14ac:dyDescent="0.3">
      <c r="A14" s="14"/>
      <c r="B14" s="283"/>
      <c r="C14" s="283" t="s">
        <v>253</v>
      </c>
      <c r="D14" s="295" t="str">
        <f ca="1">IFERROR(INDIRECT(D5&amp;"!D4"),"")</f>
        <v>Class II Wetland Tributary to the Winooski River</v>
      </c>
      <c r="E14" s="295" t="str">
        <f t="shared" ref="E14:L14" ca="1" si="9">IFERROR(INDIRECT(E5&amp;"!D4"),"")</f>
        <v>Class II Wetland Tributary to Winooski River</v>
      </c>
      <c r="F14" s="295" t="str">
        <f t="shared" ca="1" si="9"/>
        <v>Class II Wetland Tributary to Winooski River</v>
      </c>
      <c r="G14" s="295">
        <f t="shared" ca="1" si="9"/>
        <v>0</v>
      </c>
      <c r="H14" s="295">
        <f t="shared" ca="1" si="9"/>
        <v>0</v>
      </c>
      <c r="I14" s="295">
        <f t="shared" ca="1" si="9"/>
        <v>0</v>
      </c>
      <c r="J14" s="295">
        <f t="shared" ca="1" si="9"/>
        <v>0</v>
      </c>
      <c r="K14" s="295">
        <f t="shared" ca="1" si="9"/>
        <v>0</v>
      </c>
      <c r="L14" s="296">
        <f t="shared" ca="1" si="9"/>
        <v>0</v>
      </c>
    </row>
    <row r="15" spans="1:16" s="181" customFormat="1" ht="4.2" customHeight="1" thickBot="1" x14ac:dyDescent="0.35">
      <c r="A15" s="14"/>
      <c r="B15" s="247"/>
      <c r="C15" s="247"/>
      <c r="D15" s="295"/>
      <c r="E15" s="17"/>
      <c r="F15" s="17"/>
      <c r="G15" s="17"/>
      <c r="H15" s="17"/>
      <c r="I15" s="17"/>
      <c r="J15" s="17"/>
      <c r="K15" s="17"/>
      <c r="L15" s="70"/>
    </row>
    <row r="16" spans="1:16" ht="17.399999999999999" customHeight="1" thickBot="1" x14ac:dyDescent="0.35">
      <c r="A16" s="56" t="s">
        <v>135</v>
      </c>
      <c r="B16" s="57"/>
      <c r="C16" s="57"/>
      <c r="D16" s="57"/>
      <c r="E16" s="57"/>
      <c r="F16" s="57"/>
      <c r="G16" s="57"/>
      <c r="H16" s="57"/>
      <c r="I16" s="57"/>
      <c r="J16" s="57"/>
      <c r="K16" s="57"/>
      <c r="L16" s="58"/>
    </row>
    <row r="17" spans="1:12" x14ac:dyDescent="0.3">
      <c r="A17" s="14"/>
      <c r="B17" s="13"/>
      <c r="C17" s="138" t="s">
        <v>13</v>
      </c>
      <c r="D17" s="143" t="str">
        <f>D5</f>
        <v>SN1</v>
      </c>
      <c r="E17" s="147" t="str">
        <f t="shared" ref="E17:L17" si="10">E5</f>
        <v>SN2</v>
      </c>
      <c r="F17" s="147" t="str">
        <f t="shared" si="10"/>
        <v>SN3</v>
      </c>
      <c r="G17" s="147" t="str">
        <f t="shared" si="10"/>
        <v>SN4</v>
      </c>
      <c r="H17" s="147" t="str">
        <f t="shared" si="10"/>
        <v>SN5</v>
      </c>
      <c r="I17" s="147" t="str">
        <f t="shared" si="10"/>
        <v>SN6</v>
      </c>
      <c r="J17" s="147" t="str">
        <f t="shared" si="10"/>
        <v>SN7</v>
      </c>
      <c r="K17" s="147" t="str">
        <f t="shared" si="10"/>
        <v>SN8</v>
      </c>
      <c r="L17" s="157" t="str">
        <f t="shared" si="10"/>
        <v>SN9</v>
      </c>
    </row>
    <row r="18" spans="1:12" x14ac:dyDescent="0.3">
      <c r="A18" s="14"/>
      <c r="B18" s="20" t="s">
        <v>143</v>
      </c>
      <c r="C18" s="285">
        <f ca="1">SUM(D18:L18)</f>
        <v>4.6458333333333331E-2</v>
      </c>
      <c r="D18" s="286">
        <f ca="1">IFERROR(INDIRECT(D$17&amp;"!B58"),0)</f>
        <v>0</v>
      </c>
      <c r="E18" s="287">
        <f t="shared" ref="E18:L18" ca="1" si="11">IFERROR(INDIRECT(E$17&amp;"!B58"),0)</f>
        <v>0</v>
      </c>
      <c r="F18" s="287">
        <f t="shared" ca="1" si="11"/>
        <v>4.6458333333333331E-2</v>
      </c>
      <c r="G18" s="287">
        <f t="shared" ca="1" si="11"/>
        <v>0</v>
      </c>
      <c r="H18" s="287">
        <f t="shared" ca="1" si="11"/>
        <v>0</v>
      </c>
      <c r="I18" s="287">
        <f t="shared" ca="1" si="11"/>
        <v>0</v>
      </c>
      <c r="J18" s="287">
        <f t="shared" ca="1" si="11"/>
        <v>0</v>
      </c>
      <c r="K18" s="287">
        <f t="shared" ca="1" si="11"/>
        <v>0</v>
      </c>
      <c r="L18" s="288">
        <f t="shared" ca="1" si="11"/>
        <v>0</v>
      </c>
    </row>
    <row r="19" spans="1:12" x14ac:dyDescent="0.3">
      <c r="A19" s="14"/>
      <c r="B19" s="20" t="s">
        <v>144</v>
      </c>
      <c r="C19" s="285">
        <f ca="1">SUM(D19:L19)</f>
        <v>0.26799999999999996</v>
      </c>
      <c r="D19" s="286">
        <f ca="1">IFERROR(INDIRECT(D$17&amp;"!B59"),0)</f>
        <v>0</v>
      </c>
      <c r="E19" s="287">
        <f t="shared" ref="E19:L19" ca="1" si="12">IFERROR(INDIRECT(E$17&amp;"!B59"),0)</f>
        <v>0.04</v>
      </c>
      <c r="F19" s="287">
        <f t="shared" ca="1" si="12"/>
        <v>0.22799999999999998</v>
      </c>
      <c r="G19" s="287">
        <f t="shared" ca="1" si="12"/>
        <v>0</v>
      </c>
      <c r="H19" s="287">
        <f t="shared" ca="1" si="12"/>
        <v>0</v>
      </c>
      <c r="I19" s="287">
        <f t="shared" ca="1" si="12"/>
        <v>0</v>
      </c>
      <c r="J19" s="287">
        <f t="shared" ca="1" si="12"/>
        <v>0</v>
      </c>
      <c r="K19" s="287">
        <f t="shared" ca="1" si="12"/>
        <v>0</v>
      </c>
      <c r="L19" s="288">
        <f t="shared" ca="1" si="12"/>
        <v>0</v>
      </c>
    </row>
    <row r="20" spans="1:12" ht="15" thickBot="1" x14ac:dyDescent="0.35">
      <c r="A20" s="14"/>
      <c r="B20" s="247" t="s">
        <v>142</v>
      </c>
      <c r="C20" s="141" t="str">
        <f ca="1">IF(C19&gt;=C18,"Yes","No")</f>
        <v>Yes</v>
      </c>
      <c r="D20" s="144" t="str">
        <f ca="1">IF(D18=0,"n/a",INDIRECT(D$5&amp;"!B61"))</f>
        <v>n/a</v>
      </c>
      <c r="E20" s="146" t="str">
        <f t="shared" ref="E20:L20" ca="1" si="13">IF(E18=0,"n/a",INDIRECT(E$5&amp;"!B61"))</f>
        <v>n/a</v>
      </c>
      <c r="F20" s="146" t="str">
        <f t="shared" ca="1" si="13"/>
        <v>Yes</v>
      </c>
      <c r="G20" s="146" t="str">
        <f t="shared" ca="1" si="13"/>
        <v>n/a</v>
      </c>
      <c r="H20" s="146" t="str">
        <f t="shared" ca="1" si="13"/>
        <v>n/a</v>
      </c>
      <c r="I20" s="146" t="str">
        <f t="shared" ca="1" si="13"/>
        <v>n/a</v>
      </c>
      <c r="J20" s="146" t="str">
        <f t="shared" ca="1" si="13"/>
        <v>n/a</v>
      </c>
      <c r="K20" s="146" t="str">
        <f t="shared" ca="1" si="13"/>
        <v>n/a</v>
      </c>
      <c r="L20" s="159" t="str">
        <f t="shared" ca="1" si="13"/>
        <v>n/a</v>
      </c>
    </row>
    <row r="21" spans="1:12" s="148" customFormat="1" ht="7.8" customHeight="1" x14ac:dyDescent="0.3">
      <c r="A21" s="14"/>
      <c r="B21" s="247"/>
      <c r="C21" s="154"/>
      <c r="D21" s="146"/>
      <c r="E21" s="146"/>
      <c r="F21" s="146"/>
      <c r="G21" s="146"/>
      <c r="H21" s="146"/>
      <c r="I21" s="146"/>
      <c r="J21" s="146"/>
      <c r="K21" s="146"/>
      <c r="L21" s="159"/>
    </row>
    <row r="22" spans="1:12" ht="65.400000000000006" customHeight="1" x14ac:dyDescent="0.3">
      <c r="A22" s="14"/>
      <c r="B22" s="160" t="s">
        <v>200</v>
      </c>
      <c r="C22" s="321" t="s">
        <v>266</v>
      </c>
      <c r="D22" s="322"/>
      <c r="E22" s="322"/>
      <c r="F22" s="322"/>
      <c r="G22" s="322"/>
      <c r="H22" s="322"/>
      <c r="I22" s="322"/>
      <c r="J22" s="322"/>
      <c r="K22" s="322"/>
      <c r="L22" s="323"/>
    </row>
    <row r="23" spans="1:12" s="155" customFormat="1" ht="6.6" customHeight="1" thickBot="1" x14ac:dyDescent="0.35">
      <c r="A23" s="161"/>
      <c r="B23" s="162"/>
      <c r="C23" s="163"/>
      <c r="D23" s="163"/>
      <c r="E23" s="163"/>
      <c r="F23" s="163"/>
      <c r="G23" s="163"/>
      <c r="H23" s="163"/>
      <c r="I23" s="163"/>
      <c r="J23" s="163"/>
      <c r="K23" s="163"/>
      <c r="L23" s="164"/>
    </row>
    <row r="24" spans="1:12" ht="17.399999999999999" customHeight="1" thickBot="1" x14ac:dyDescent="0.35">
      <c r="A24" s="56" t="s">
        <v>136</v>
      </c>
      <c r="B24" s="57"/>
      <c r="C24" s="57"/>
      <c r="D24" s="57"/>
      <c r="E24" s="57"/>
      <c r="F24" s="57"/>
      <c r="G24" s="57"/>
      <c r="H24" s="57"/>
      <c r="I24" s="57"/>
      <c r="J24" s="57"/>
      <c r="K24" s="57"/>
      <c r="L24" s="58"/>
    </row>
    <row r="25" spans="1:12" x14ac:dyDescent="0.3">
      <c r="A25" s="14"/>
      <c r="B25" s="13"/>
      <c r="C25" s="138" t="s">
        <v>13</v>
      </c>
      <c r="D25" s="147" t="str">
        <f>D5</f>
        <v>SN1</v>
      </c>
      <c r="E25" s="147" t="str">
        <f t="shared" ref="E25:L25" si="14">E5</f>
        <v>SN2</v>
      </c>
      <c r="F25" s="147" t="str">
        <f t="shared" si="14"/>
        <v>SN3</v>
      </c>
      <c r="G25" s="147" t="str">
        <f t="shared" si="14"/>
        <v>SN4</v>
      </c>
      <c r="H25" s="147" t="str">
        <f t="shared" si="14"/>
        <v>SN5</v>
      </c>
      <c r="I25" s="147" t="str">
        <f t="shared" si="14"/>
        <v>SN6</v>
      </c>
      <c r="J25" s="147" t="str">
        <f t="shared" si="14"/>
        <v>SN7</v>
      </c>
      <c r="K25" s="147" t="str">
        <f t="shared" si="14"/>
        <v>SN8</v>
      </c>
      <c r="L25" s="157" t="str">
        <f t="shared" si="14"/>
        <v>SN9</v>
      </c>
    </row>
    <row r="26" spans="1:12" x14ac:dyDescent="0.3">
      <c r="A26" s="14"/>
      <c r="B26" s="20" t="s">
        <v>143</v>
      </c>
      <c r="C26" s="285">
        <f ca="1">SUM(D26:L26)</f>
        <v>0.31791666666666663</v>
      </c>
      <c r="D26" s="287">
        <f ca="1">IFERROR(INDIRECT(D$5&amp;"!C58"),0)</f>
        <v>8.4416666666666654E-2</v>
      </c>
      <c r="E26" s="287">
        <f t="shared" ref="E26:L26" ca="1" si="15">IFERROR(INDIRECT(E$5&amp;"!C58"),0)</f>
        <v>3.9416666666666676E-2</v>
      </c>
      <c r="F26" s="287">
        <f t="shared" ca="1" si="15"/>
        <v>0.1940833333333333</v>
      </c>
      <c r="G26" s="287">
        <f t="shared" ca="1" si="15"/>
        <v>0</v>
      </c>
      <c r="H26" s="287">
        <f t="shared" ca="1" si="15"/>
        <v>0</v>
      </c>
      <c r="I26" s="287">
        <f t="shared" ca="1" si="15"/>
        <v>0</v>
      </c>
      <c r="J26" s="287">
        <f t="shared" ca="1" si="15"/>
        <v>0</v>
      </c>
      <c r="K26" s="287">
        <f t="shared" ca="1" si="15"/>
        <v>0</v>
      </c>
      <c r="L26" s="288">
        <f t="shared" ca="1" si="15"/>
        <v>0</v>
      </c>
    </row>
    <row r="27" spans="1:12" x14ac:dyDescent="0.3">
      <c r="A27" s="14"/>
      <c r="B27" s="20" t="s">
        <v>144</v>
      </c>
      <c r="C27" s="285">
        <f ca="1">SUM(D27:L27)</f>
        <v>0.436</v>
      </c>
      <c r="D27" s="287">
        <f ca="1">IFERROR(INDIRECT(D$5&amp;"!C59"),0)+IFERROR(INDIRECT(D$5&amp;"!E85"),0)</f>
        <v>0.16800000000000001</v>
      </c>
      <c r="E27" s="287">
        <f t="shared" ref="E27:L27" ca="1" si="16">IFERROR(INDIRECT(E$5&amp;"!C59"),0)+IFERROR(INDIRECT(E$5&amp;"!E85"),0)</f>
        <v>0.04</v>
      </c>
      <c r="F27" s="287">
        <f t="shared" ca="1" si="16"/>
        <v>0.22799999999999998</v>
      </c>
      <c r="G27" s="287">
        <f t="shared" ca="1" si="16"/>
        <v>0</v>
      </c>
      <c r="H27" s="287">
        <f t="shared" ca="1" si="16"/>
        <v>0</v>
      </c>
      <c r="I27" s="287">
        <f t="shared" ca="1" si="16"/>
        <v>0</v>
      </c>
      <c r="J27" s="287">
        <f t="shared" ca="1" si="16"/>
        <v>0</v>
      </c>
      <c r="K27" s="287">
        <f t="shared" ca="1" si="16"/>
        <v>0</v>
      </c>
      <c r="L27" s="288">
        <f t="shared" ca="1" si="16"/>
        <v>0</v>
      </c>
    </row>
    <row r="28" spans="1:12" ht="15" thickBot="1" x14ac:dyDescent="0.35">
      <c r="A28" s="14"/>
      <c r="B28" s="20" t="s">
        <v>142</v>
      </c>
      <c r="C28" s="141" t="str">
        <f ca="1">IF(C27&gt;=C26,"Yes",IF(COUNTIF(D28:L28,"No")&lt;1,"Yes","No"))</f>
        <v>Yes</v>
      </c>
      <c r="D28" s="146" t="str">
        <f ca="1">IF(D26=0,"n/a",INDIRECT(D$5&amp;"!E86"))</f>
        <v>Yes</v>
      </c>
      <c r="E28" s="146" t="str">
        <f t="shared" ref="E28:L28" ca="1" si="17">IF(E26=0,"n/a",INDIRECT(E$5&amp;"!E86"))</f>
        <v>Yes</v>
      </c>
      <c r="F28" s="146" t="str">
        <f t="shared" ca="1" si="17"/>
        <v>Yes</v>
      </c>
      <c r="G28" s="146" t="str">
        <f t="shared" ca="1" si="17"/>
        <v>n/a</v>
      </c>
      <c r="H28" s="146" t="str">
        <f t="shared" ca="1" si="17"/>
        <v>n/a</v>
      </c>
      <c r="I28" s="146" t="str">
        <f t="shared" ca="1" si="17"/>
        <v>n/a</v>
      </c>
      <c r="J28" s="146" t="str">
        <f t="shared" ca="1" si="17"/>
        <v>n/a</v>
      </c>
      <c r="K28" s="146" t="str">
        <f t="shared" ca="1" si="17"/>
        <v>n/a</v>
      </c>
      <c r="L28" s="159" t="str">
        <f t="shared" ca="1" si="17"/>
        <v>n/a</v>
      </c>
    </row>
    <row r="29" spans="1:12" s="136" customFormat="1" ht="7.2" customHeight="1" x14ac:dyDescent="0.3">
      <c r="A29" s="14"/>
      <c r="B29" s="20"/>
      <c r="C29" s="154"/>
      <c r="D29" s="154"/>
      <c r="E29" s="146"/>
      <c r="F29" s="146"/>
      <c r="G29" s="146"/>
      <c r="H29" s="146"/>
      <c r="I29" s="146"/>
      <c r="J29" s="146"/>
      <c r="K29" s="146"/>
      <c r="L29" s="159"/>
    </row>
    <row r="30" spans="1:12" ht="31.2" customHeight="1" x14ac:dyDescent="0.3">
      <c r="A30" s="330" t="s">
        <v>226</v>
      </c>
      <c r="B30" s="331"/>
      <c r="C30" s="331"/>
      <c r="D30" s="331"/>
      <c r="E30" s="331"/>
      <c r="F30" s="331"/>
      <c r="G30" s="331"/>
      <c r="H30" s="331"/>
      <c r="I30" s="331"/>
      <c r="J30" s="331"/>
      <c r="K30" s="331"/>
      <c r="L30" s="332"/>
    </row>
    <row r="31" spans="1:12" s="148" customFormat="1" ht="5.4" customHeight="1" x14ac:dyDescent="0.3">
      <c r="A31" s="14"/>
      <c r="B31" s="165"/>
      <c r="C31" s="165"/>
      <c r="D31" s="165"/>
      <c r="E31" s="165"/>
      <c r="F31" s="165"/>
      <c r="G31" s="165"/>
      <c r="H31" s="165"/>
      <c r="I31" s="165"/>
      <c r="J31" s="165"/>
      <c r="K31" s="165"/>
      <c r="L31" s="166"/>
    </row>
    <row r="32" spans="1:12" s="148" customFormat="1" ht="78" customHeight="1" x14ac:dyDescent="0.3">
      <c r="A32" s="14"/>
      <c r="B32" s="160" t="s">
        <v>200</v>
      </c>
      <c r="C32" s="321"/>
      <c r="D32" s="322"/>
      <c r="E32" s="322"/>
      <c r="F32" s="322"/>
      <c r="G32" s="322"/>
      <c r="H32" s="322"/>
      <c r="I32" s="322"/>
      <c r="J32" s="322"/>
      <c r="K32" s="322"/>
      <c r="L32" s="323"/>
    </row>
    <row r="33" spans="1:12" s="155" customFormat="1" ht="9" customHeight="1" thickBot="1" x14ac:dyDescent="0.35">
      <c r="A33" s="161"/>
      <c r="B33" s="162"/>
      <c r="C33" s="163"/>
      <c r="D33" s="163"/>
      <c r="E33" s="163"/>
      <c r="F33" s="163"/>
      <c r="G33" s="163"/>
      <c r="H33" s="163"/>
      <c r="I33" s="163"/>
      <c r="J33" s="163"/>
      <c r="K33" s="163"/>
      <c r="L33" s="164"/>
    </row>
    <row r="34" spans="1:12" ht="17.399999999999999" customHeight="1" thickBot="1" x14ac:dyDescent="0.35">
      <c r="A34" s="56" t="s">
        <v>181</v>
      </c>
      <c r="B34" s="57"/>
      <c r="C34" s="57"/>
      <c r="D34" s="57"/>
      <c r="E34" s="57"/>
      <c r="F34" s="57"/>
      <c r="G34" s="57"/>
      <c r="H34" s="57"/>
      <c r="I34" s="57"/>
      <c r="J34" s="57"/>
      <c r="K34" s="57"/>
      <c r="L34" s="58"/>
    </row>
    <row r="35" spans="1:12" x14ac:dyDescent="0.3">
      <c r="A35" s="14"/>
      <c r="B35" s="13"/>
      <c r="C35" s="196" t="s">
        <v>13</v>
      </c>
      <c r="D35" s="7" t="str">
        <f>D5</f>
        <v>SN1</v>
      </c>
      <c r="E35" s="7" t="str">
        <f t="shared" ref="E35:L35" si="18">E5</f>
        <v>SN2</v>
      </c>
      <c r="F35" s="7" t="str">
        <f t="shared" si="18"/>
        <v>SN3</v>
      </c>
      <c r="G35" s="7" t="str">
        <f t="shared" si="18"/>
        <v>SN4</v>
      </c>
      <c r="H35" s="7" t="str">
        <f t="shared" si="18"/>
        <v>SN5</v>
      </c>
      <c r="I35" s="7" t="str">
        <f t="shared" si="18"/>
        <v>SN6</v>
      </c>
      <c r="J35" s="7" t="str">
        <f t="shared" si="18"/>
        <v>SN7</v>
      </c>
      <c r="K35" s="7" t="str">
        <f t="shared" si="18"/>
        <v>SN8</v>
      </c>
      <c r="L35" s="167" t="str">
        <f t="shared" si="18"/>
        <v>SN9</v>
      </c>
    </row>
    <row r="36" spans="1:12" x14ac:dyDescent="0.3">
      <c r="A36" s="14"/>
      <c r="B36" s="20" t="s">
        <v>227</v>
      </c>
      <c r="C36" s="197"/>
      <c r="D36" s="182" t="str">
        <f ca="1">IFERROR(IF(INDIRECT(D$35&amp;"!F89")=2,"No","Yes"),0)</f>
        <v>Yes</v>
      </c>
      <c r="E36" s="182" t="str">
        <f t="shared" ref="E36:L36" ca="1" si="19">IFERROR(IF(INDIRECT(E$35&amp;"!F89")=2,"No","Yes"),0)</f>
        <v>Yes</v>
      </c>
      <c r="F36" s="182" t="str">
        <f t="shared" ca="1" si="19"/>
        <v>Yes</v>
      </c>
      <c r="G36" s="182" t="str">
        <f t="shared" ca="1" si="19"/>
        <v>Yes</v>
      </c>
      <c r="H36" s="182" t="str">
        <f t="shared" ca="1" si="19"/>
        <v>Yes</v>
      </c>
      <c r="I36" s="182" t="str">
        <f t="shared" ca="1" si="19"/>
        <v>Yes</v>
      </c>
      <c r="J36" s="182" t="str">
        <f t="shared" ca="1" si="19"/>
        <v>Yes</v>
      </c>
      <c r="K36" s="182" t="str">
        <f t="shared" ca="1" si="19"/>
        <v>Yes</v>
      </c>
      <c r="L36" s="74" t="str">
        <f t="shared" ca="1" si="19"/>
        <v>Yes</v>
      </c>
    </row>
    <row r="37" spans="1:12" s="136" customFormat="1" ht="31.8" customHeight="1" x14ac:dyDescent="0.3">
      <c r="A37" s="14"/>
      <c r="B37" s="180" t="s">
        <v>187</v>
      </c>
      <c r="C37" s="197"/>
      <c r="D37" s="168" t="str">
        <f ca="1">IFERROR(IF(INDIRECT(D35&amp;"!E90")="","n/a",VLOOKUP(INDIRECT(D35&amp;"!E90"),Lookup!$L$2:$M$9,2,FALSE)),"")</f>
        <v>n/a</v>
      </c>
      <c r="E37" s="188" t="str">
        <f ca="1">IFERROR(IF(INDIRECT(E35&amp;"!E90")="","n/a",VLOOKUP(INDIRECT(E35&amp;"!E90"),Lookup!$L$2:$M$9,2,FALSE)),"")</f>
        <v>n/a</v>
      </c>
      <c r="F37" s="188" t="str">
        <f ca="1">IFERROR(IF(INDIRECT(F35&amp;"!E90")="","n/a",VLOOKUP(INDIRECT(F35&amp;"!E90"),Lookup!$L$2:$M$9,2,FALSE)),"")</f>
        <v>n/a</v>
      </c>
      <c r="G37" s="188" t="str">
        <f ca="1">IFERROR(IF(INDIRECT(G35&amp;"!E90")="","n/a",VLOOKUP(INDIRECT(G35&amp;"!E90"),Lookup!$L$2:$M$9,2,FALSE)),"")</f>
        <v>n/a</v>
      </c>
      <c r="H37" s="188" t="str">
        <f ca="1">IFERROR(IF(INDIRECT(H35&amp;"!E90")="","n/a",VLOOKUP(INDIRECT(H35&amp;"!E90"),Lookup!$L$2:$M$9,2,FALSE)),"")</f>
        <v>n/a</v>
      </c>
      <c r="I37" s="188" t="str">
        <f ca="1">IFERROR(IF(INDIRECT(I35&amp;"!E90")="","n/a",VLOOKUP(INDIRECT(I35&amp;"!E90"),Lookup!$L$2:$M$9,2,FALSE)),"")</f>
        <v>n/a</v>
      </c>
      <c r="J37" s="188" t="str">
        <f ca="1">IFERROR(IF(INDIRECT(J35&amp;"!E90")="","n/a",VLOOKUP(INDIRECT(J35&amp;"!E90"),Lookup!$L$2:$M$9,2,FALSE)),"")</f>
        <v>n/a</v>
      </c>
      <c r="K37" s="188" t="str">
        <f ca="1">IFERROR(IF(INDIRECT(K35&amp;"!E90")="","n/a",VLOOKUP(INDIRECT(K35&amp;"!E90"),Lookup!$L$2:$M$9,2,FALSE)),"")</f>
        <v>n/a</v>
      </c>
      <c r="L37" s="189" t="str">
        <f ca="1">IFERROR(IF(INDIRECT(L35&amp;"!E90")="","n/a",VLOOKUP(INDIRECT(L35&amp;"!E90"),Lookup!$L$2:$M$9,2,FALSE)),"")</f>
        <v>n/a</v>
      </c>
    </row>
    <row r="38" spans="1:12" ht="31.2" customHeight="1" x14ac:dyDescent="0.3">
      <c r="A38" s="14"/>
      <c r="B38" s="180" t="s">
        <v>183</v>
      </c>
      <c r="C38" s="197"/>
      <c r="D38" s="168" t="str">
        <f ca="1">IF(D36="Yes",IF(INDIRECT(D$35&amp;"!B91")="Yes","Hydrologic Condition Method",IF(INDIRECT(D$35&amp;"!G94")=TRUE(),"Alternate Extended Detention","Extended Detention")),"n/a")</f>
        <v>Extended Detention</v>
      </c>
      <c r="E38" s="168" t="str">
        <f t="shared" ref="E38:L38" ca="1" si="20">IF(E36="Yes",IF(INDIRECT(E$35&amp;"!B91")="Yes","Hydrologic Condition Method",IF(INDIRECT(E$35&amp;"!G94")=TRUE(),"Alternate Extended Detention","Extended Detention")),"n/a")</f>
        <v>Extended Detention</v>
      </c>
      <c r="F38" s="168" t="str">
        <f t="shared" ca="1" si="20"/>
        <v>Hydrologic Condition Method</v>
      </c>
      <c r="G38" s="168" t="str">
        <f t="shared" ca="1" si="20"/>
        <v>Hydrologic Condition Method</v>
      </c>
      <c r="H38" s="168" t="str">
        <f t="shared" ca="1" si="20"/>
        <v>Hydrologic Condition Method</v>
      </c>
      <c r="I38" s="168" t="str">
        <f t="shared" ca="1" si="20"/>
        <v>Hydrologic Condition Method</v>
      </c>
      <c r="J38" s="168" t="str">
        <f t="shared" ca="1" si="20"/>
        <v>Hydrologic Condition Method</v>
      </c>
      <c r="K38" s="168" t="str">
        <f t="shared" ca="1" si="20"/>
        <v>Hydrologic Condition Method</v>
      </c>
      <c r="L38" s="169" t="str">
        <f t="shared" ca="1" si="20"/>
        <v>Hydrologic Condition Method</v>
      </c>
    </row>
    <row r="39" spans="1:12" s="181" customFormat="1" ht="14.4" customHeight="1" x14ac:dyDescent="0.3">
      <c r="A39" s="14"/>
      <c r="B39" s="191" t="s">
        <v>229</v>
      </c>
      <c r="C39" s="289">
        <f ca="1">SUM(D39:L39)</f>
        <v>0.39956135760130884</v>
      </c>
      <c r="D39" s="290">
        <f ca="1">IFERROR(INDIRECT(D$5&amp;"!D58"),0)</f>
        <v>0.10299039279569402</v>
      </c>
      <c r="E39" s="291">
        <f t="shared" ref="E39:L39" ca="1" si="21">IFERROR(INDIRECT(E$5&amp;"!D58"),0)</f>
        <v>6.9352990664552014E-2</v>
      </c>
      <c r="F39" s="291">
        <f t="shared" ca="1" si="21"/>
        <v>0.22721797414106282</v>
      </c>
      <c r="G39" s="291">
        <f t="shared" ca="1" si="21"/>
        <v>0</v>
      </c>
      <c r="H39" s="291">
        <f t="shared" ca="1" si="21"/>
        <v>0</v>
      </c>
      <c r="I39" s="291">
        <f t="shared" ca="1" si="21"/>
        <v>0</v>
      </c>
      <c r="J39" s="291">
        <f t="shared" ca="1" si="21"/>
        <v>0</v>
      </c>
      <c r="K39" s="291">
        <f t="shared" ca="1" si="21"/>
        <v>0</v>
      </c>
      <c r="L39" s="292">
        <f t="shared" ca="1" si="21"/>
        <v>0</v>
      </c>
    </row>
    <row r="40" spans="1:12" s="181" customFormat="1" ht="14.4" customHeight="1" thickBot="1" x14ac:dyDescent="0.35">
      <c r="A40" s="14"/>
      <c r="B40" s="191" t="s">
        <v>228</v>
      </c>
      <c r="C40" s="293">
        <f ca="1">SUM(D40:L40)</f>
        <v>0</v>
      </c>
      <c r="D40" s="294">
        <f ca="1">IFERROR(INDIRECT(D35&amp;"!D69"),0)</f>
        <v>0</v>
      </c>
      <c r="E40" s="291">
        <f t="shared" ref="E40:L40" ca="1" si="22">IFERROR(INDIRECT(E35&amp;"!D69"),0)</f>
        <v>0</v>
      </c>
      <c r="F40" s="291">
        <f t="shared" ca="1" si="22"/>
        <v>0</v>
      </c>
      <c r="G40" s="291">
        <f t="shared" ca="1" si="22"/>
        <v>0</v>
      </c>
      <c r="H40" s="291">
        <f t="shared" ca="1" si="22"/>
        <v>0</v>
      </c>
      <c r="I40" s="291">
        <f t="shared" ca="1" si="22"/>
        <v>0</v>
      </c>
      <c r="J40" s="291">
        <f t="shared" ca="1" si="22"/>
        <v>0</v>
      </c>
      <c r="K40" s="291">
        <f t="shared" ca="1" si="22"/>
        <v>0</v>
      </c>
      <c r="L40" s="292">
        <f t="shared" ca="1" si="22"/>
        <v>0</v>
      </c>
    </row>
    <row r="41" spans="1:12" ht="13.8" customHeight="1" x14ac:dyDescent="0.3">
      <c r="A41" s="14"/>
      <c r="B41" s="13"/>
      <c r="C41" s="13"/>
      <c r="D41" s="13"/>
      <c r="E41" s="13"/>
      <c r="F41" s="13"/>
      <c r="G41" s="13"/>
      <c r="H41" s="13"/>
      <c r="I41" s="13"/>
      <c r="J41" s="13"/>
      <c r="K41" s="13"/>
      <c r="L41" s="60"/>
    </row>
    <row r="42" spans="1:12" s="148" customFormat="1" ht="78" customHeight="1" x14ac:dyDescent="0.3">
      <c r="A42" s="14"/>
      <c r="B42" s="160" t="s">
        <v>200</v>
      </c>
      <c r="C42" s="321" t="s">
        <v>255</v>
      </c>
      <c r="D42" s="322"/>
      <c r="E42" s="322"/>
      <c r="F42" s="322"/>
      <c r="G42" s="322"/>
      <c r="H42" s="322"/>
      <c r="I42" s="322"/>
      <c r="J42" s="322"/>
      <c r="K42" s="322"/>
      <c r="L42" s="342"/>
    </row>
    <row r="43" spans="1:12" s="148" customFormat="1" ht="17.399999999999999" customHeight="1" thickBot="1" x14ac:dyDescent="0.35">
      <c r="A43" s="16"/>
      <c r="B43" s="187"/>
      <c r="C43" s="163"/>
      <c r="D43" s="163"/>
      <c r="E43" s="163"/>
      <c r="F43" s="163"/>
      <c r="G43" s="163"/>
      <c r="H43" s="163"/>
      <c r="I43" s="163"/>
      <c r="J43" s="163"/>
      <c r="K43" s="163"/>
      <c r="L43" s="164"/>
    </row>
    <row r="44" spans="1:12" ht="15.6" x14ac:dyDescent="0.3">
      <c r="A44" s="56" t="s">
        <v>184</v>
      </c>
      <c r="B44" s="57"/>
      <c r="C44" s="57"/>
      <c r="D44" s="57"/>
      <c r="E44" s="57"/>
      <c r="F44" s="57"/>
      <c r="G44" s="57"/>
      <c r="H44" s="57"/>
      <c r="I44" s="57"/>
      <c r="J44" s="57"/>
      <c r="K44" s="57"/>
      <c r="L44" s="58"/>
    </row>
    <row r="45" spans="1:12" x14ac:dyDescent="0.3">
      <c r="A45" s="14"/>
      <c r="B45" s="13"/>
      <c r="C45" s="13"/>
      <c r="D45" s="7" t="str">
        <f>D5</f>
        <v>SN1</v>
      </c>
      <c r="E45" s="7" t="str">
        <f t="shared" ref="E45:L45" si="23">E5</f>
        <v>SN2</v>
      </c>
      <c r="F45" s="7" t="str">
        <f t="shared" si="23"/>
        <v>SN3</v>
      </c>
      <c r="G45" s="7" t="str">
        <f t="shared" si="23"/>
        <v>SN4</v>
      </c>
      <c r="H45" s="7" t="str">
        <f t="shared" si="23"/>
        <v>SN5</v>
      </c>
      <c r="I45" s="7" t="str">
        <f t="shared" si="23"/>
        <v>SN6</v>
      </c>
      <c r="J45" s="7" t="str">
        <f t="shared" si="23"/>
        <v>SN7</v>
      </c>
      <c r="K45" s="7" t="str">
        <f t="shared" si="23"/>
        <v>SN8</v>
      </c>
      <c r="L45" s="167" t="str">
        <f t="shared" si="23"/>
        <v>SN9</v>
      </c>
    </row>
    <row r="46" spans="1:12" x14ac:dyDescent="0.3">
      <c r="A46" s="14"/>
      <c r="B46" s="20"/>
      <c r="C46" s="184" t="s">
        <v>227</v>
      </c>
      <c r="D46" s="7" t="str">
        <f ca="1">IFERROR(IF(INDIRECT(D45&amp;"!F102")=1,"Yes","No"),0)</f>
        <v>Yes</v>
      </c>
      <c r="E46" s="7" t="str">
        <f t="shared" ref="E46:L46" ca="1" si="24">IFERROR(IF(INDIRECT(E45&amp;"!F102")=1,"Yes","No"),0)</f>
        <v>Yes</v>
      </c>
      <c r="F46" s="7" t="str">
        <f t="shared" ca="1" si="24"/>
        <v>Yes</v>
      </c>
      <c r="G46" s="7" t="str">
        <f t="shared" ca="1" si="24"/>
        <v>Yes</v>
      </c>
      <c r="H46" s="7" t="str">
        <f t="shared" ca="1" si="24"/>
        <v>Yes</v>
      </c>
      <c r="I46" s="7" t="str">
        <f t="shared" ca="1" si="24"/>
        <v>Yes</v>
      </c>
      <c r="J46" s="7" t="str">
        <f t="shared" ca="1" si="24"/>
        <v>Yes</v>
      </c>
      <c r="K46" s="7" t="str">
        <f t="shared" ca="1" si="24"/>
        <v>Yes</v>
      </c>
      <c r="L46" s="167" t="str">
        <f t="shared" ca="1" si="24"/>
        <v>Yes</v>
      </c>
    </row>
    <row r="47" spans="1:12" x14ac:dyDescent="0.3">
      <c r="A47" s="14"/>
      <c r="B47" s="13"/>
      <c r="C47" s="20" t="s">
        <v>197</v>
      </c>
      <c r="D47" s="7">
        <f ca="1">IFERROR(INDIRECT(D$45&amp;"!D106"),"")</f>
        <v>8.17</v>
      </c>
      <c r="E47" s="7">
        <f t="shared" ref="E47:L47" ca="1" si="25">IFERROR(INDIRECT(E$45&amp;"!D106"),"")</f>
        <v>5.12</v>
      </c>
      <c r="F47" s="7">
        <f t="shared" ca="1" si="25"/>
        <v>4.87</v>
      </c>
      <c r="G47" s="7">
        <f t="shared" ca="1" si="25"/>
        <v>0</v>
      </c>
      <c r="H47" s="7">
        <f t="shared" ca="1" si="25"/>
        <v>0</v>
      </c>
      <c r="I47" s="7">
        <f t="shared" ca="1" si="25"/>
        <v>0</v>
      </c>
      <c r="J47" s="7">
        <f t="shared" ca="1" si="25"/>
        <v>0</v>
      </c>
      <c r="K47" s="7">
        <f t="shared" ca="1" si="25"/>
        <v>0</v>
      </c>
      <c r="L47" s="167">
        <f t="shared" ca="1" si="25"/>
        <v>0</v>
      </c>
    </row>
    <row r="48" spans="1:12" x14ac:dyDescent="0.3">
      <c r="A48" s="14"/>
      <c r="B48" s="13"/>
      <c r="C48" s="20" t="s">
        <v>198</v>
      </c>
      <c r="D48" s="7">
        <f ca="1">IFERROR(INDIRECT(D$45&amp;"!D108"),"")</f>
        <v>6.43</v>
      </c>
      <c r="E48" s="7">
        <f t="shared" ref="E48:L48" ca="1" si="26">IFERROR(INDIRECT(E$45&amp;"!D108"),"")</f>
        <v>5.81</v>
      </c>
      <c r="F48" s="7">
        <f t="shared" ca="1" si="26"/>
        <v>2.29</v>
      </c>
      <c r="G48" s="7">
        <f t="shared" ca="1" si="26"/>
        <v>0</v>
      </c>
      <c r="H48" s="7">
        <f t="shared" ca="1" si="26"/>
        <v>0</v>
      </c>
      <c r="I48" s="7">
        <f t="shared" ca="1" si="26"/>
        <v>0</v>
      </c>
      <c r="J48" s="7">
        <f t="shared" ca="1" si="26"/>
        <v>0</v>
      </c>
      <c r="K48" s="7">
        <f t="shared" ca="1" si="26"/>
        <v>0</v>
      </c>
      <c r="L48" s="167">
        <f t="shared" ca="1" si="26"/>
        <v>0</v>
      </c>
    </row>
    <row r="49" spans="1:12" ht="29.4" customHeight="1" x14ac:dyDescent="0.3">
      <c r="A49" s="14"/>
      <c r="B49" s="13"/>
      <c r="C49" s="184" t="s">
        <v>187</v>
      </c>
      <c r="D49" s="168" t="str">
        <f ca="1">IFERROR(IF(INDIRECT(D$45&amp;"!E103")="","n/a",VLOOKUP(INDIRECT(D$45&amp;"!E103"),Lookup!$L$2:$M$9,2,FALSE)),"")</f>
        <v>n/a</v>
      </c>
      <c r="E49" s="168" t="str">
        <f ca="1">IFERROR(IF(INDIRECT(E$45&amp;"!E103")="","n/a",VLOOKUP(INDIRECT(E$45&amp;"!E103"),Lookup!$L$2:$M$9,2,FALSE)),"")</f>
        <v>n/a</v>
      </c>
      <c r="F49" s="168" t="str">
        <f ca="1">IFERROR(IF(INDIRECT(F$45&amp;"!E103")="","n/a",VLOOKUP(INDIRECT(F$45&amp;"!E103"),Lookup!$L$2:$M$9,2,FALSE)),"")</f>
        <v>n/a</v>
      </c>
      <c r="G49" s="168" t="str">
        <f ca="1">IFERROR(IF(INDIRECT(G$45&amp;"!E103")="","n/a",VLOOKUP(INDIRECT(G$45&amp;"!E103"),Lookup!$L$2:$M$9,2,FALSE)),"")</f>
        <v>n/a</v>
      </c>
      <c r="H49" s="168" t="str">
        <f ca="1">IFERROR(IF(INDIRECT(H$45&amp;"!E103")="","n/a",VLOOKUP(INDIRECT(H$45&amp;"!E103"),Lookup!$L$2:$M$9,2,FALSE)),"")</f>
        <v>n/a</v>
      </c>
      <c r="I49" s="168" t="str">
        <f ca="1">IFERROR(IF(INDIRECT(I$45&amp;"!E103")="","n/a",VLOOKUP(INDIRECT(I$45&amp;"!E103"),Lookup!$L$2:$M$9,2,FALSE)),"")</f>
        <v>n/a</v>
      </c>
      <c r="J49" s="168" t="str">
        <f ca="1">IFERROR(IF(INDIRECT(J$45&amp;"!E103")="","n/a",VLOOKUP(INDIRECT(J$45&amp;"!E103"),Lookup!$L$2:$M$9,2,FALSE)),"")</f>
        <v>n/a</v>
      </c>
      <c r="K49" s="168" t="str">
        <f ca="1">IFERROR(IF(INDIRECT(K$45&amp;"!E103")="","n/a",VLOOKUP(INDIRECT(K$45&amp;"!E103"),Lookup!$L$2:$M$9,2,FALSE)),"")</f>
        <v>n/a</v>
      </c>
      <c r="L49" s="169" t="str">
        <f ca="1">IFERROR(IF(INDIRECT(L$45&amp;"!E103")="","n/a",VLOOKUP(INDIRECT(L$45&amp;"!E103"),Lookup!$L$2:$M$9,2,FALSE)),"")</f>
        <v>n/a</v>
      </c>
    </row>
    <row r="50" spans="1:12" x14ac:dyDescent="0.3">
      <c r="A50" s="14"/>
      <c r="B50" s="13"/>
      <c r="C50" s="13"/>
      <c r="D50" s="13"/>
      <c r="E50" s="13"/>
      <c r="F50" s="13"/>
      <c r="G50" s="13"/>
      <c r="H50" s="13"/>
      <c r="I50" s="13"/>
      <c r="J50" s="13"/>
      <c r="K50" s="13"/>
      <c r="L50" s="60"/>
    </row>
    <row r="51" spans="1:12" s="148" customFormat="1" ht="78" customHeight="1" x14ac:dyDescent="0.3">
      <c r="A51" s="14"/>
      <c r="B51" s="160" t="s">
        <v>200</v>
      </c>
      <c r="C51" s="321" t="s">
        <v>256</v>
      </c>
      <c r="D51" s="322"/>
      <c r="E51" s="322"/>
      <c r="F51" s="322"/>
      <c r="G51" s="322"/>
      <c r="H51" s="322"/>
      <c r="I51" s="322"/>
      <c r="J51" s="322"/>
      <c r="K51" s="322"/>
      <c r="L51" s="323"/>
    </row>
    <row r="52" spans="1:12" s="148" customFormat="1" ht="15" thickBot="1" x14ac:dyDescent="0.35">
      <c r="A52" s="16"/>
      <c r="B52" s="17"/>
      <c r="C52" s="17"/>
      <c r="D52" s="17"/>
      <c r="E52" s="17"/>
      <c r="F52" s="17"/>
      <c r="G52" s="17"/>
      <c r="H52" s="17"/>
      <c r="I52" s="17"/>
      <c r="J52" s="17"/>
      <c r="K52" s="17"/>
      <c r="L52" s="70"/>
    </row>
    <row r="53" spans="1:12" ht="15.6" x14ac:dyDescent="0.3">
      <c r="A53" s="56" t="s">
        <v>196</v>
      </c>
      <c r="B53" s="57"/>
      <c r="C53" s="57"/>
      <c r="D53" s="57"/>
      <c r="E53" s="57"/>
      <c r="F53" s="57"/>
      <c r="G53" s="57"/>
      <c r="H53" s="57"/>
      <c r="I53" s="57"/>
      <c r="J53" s="57"/>
      <c r="K53" s="57"/>
      <c r="L53" s="58"/>
    </row>
    <row r="54" spans="1:12" x14ac:dyDescent="0.3">
      <c r="A54" s="14"/>
      <c r="B54" s="13"/>
      <c r="C54" s="13"/>
      <c r="D54" s="7" t="str">
        <f>D5</f>
        <v>SN1</v>
      </c>
      <c r="E54" s="7" t="str">
        <f t="shared" ref="E54:L54" si="27">E5</f>
        <v>SN2</v>
      </c>
      <c r="F54" s="7" t="str">
        <f t="shared" si="27"/>
        <v>SN3</v>
      </c>
      <c r="G54" s="7" t="str">
        <f t="shared" si="27"/>
        <v>SN4</v>
      </c>
      <c r="H54" s="7" t="str">
        <f t="shared" si="27"/>
        <v>SN5</v>
      </c>
      <c r="I54" s="7" t="str">
        <f t="shared" si="27"/>
        <v>SN6</v>
      </c>
      <c r="J54" s="7" t="str">
        <f t="shared" si="27"/>
        <v>SN7</v>
      </c>
      <c r="K54" s="7" t="str">
        <f t="shared" si="27"/>
        <v>SN8</v>
      </c>
      <c r="L54" s="167" t="str">
        <f t="shared" si="27"/>
        <v>SN9</v>
      </c>
    </row>
    <row r="55" spans="1:12" x14ac:dyDescent="0.3">
      <c r="A55" s="14"/>
      <c r="B55" s="20"/>
      <c r="C55" s="149" t="s">
        <v>227</v>
      </c>
      <c r="D55" s="7" t="str">
        <f ca="1">IFERROR(IF(INDIRECT(D54&amp;"!F114")=1,"Yes","No"),"")</f>
        <v>No</v>
      </c>
      <c r="E55" s="7" t="str">
        <f t="shared" ref="E55:L55" ca="1" si="28">IFERROR(IF(INDIRECT(E54&amp;"!F114")=1,"Yes","No"),"")</f>
        <v>No</v>
      </c>
      <c r="F55" s="7" t="str">
        <f t="shared" ca="1" si="28"/>
        <v>No</v>
      </c>
      <c r="G55" s="7" t="str">
        <f t="shared" ca="1" si="28"/>
        <v>Yes</v>
      </c>
      <c r="H55" s="7" t="str">
        <f t="shared" ca="1" si="28"/>
        <v>Yes</v>
      </c>
      <c r="I55" s="7" t="str">
        <f t="shared" ca="1" si="28"/>
        <v>Yes</v>
      </c>
      <c r="J55" s="7" t="str">
        <f t="shared" ca="1" si="28"/>
        <v>Yes</v>
      </c>
      <c r="K55" s="7" t="str">
        <f t="shared" ca="1" si="28"/>
        <v>Yes</v>
      </c>
      <c r="L55" s="167" t="str">
        <f t="shared" ca="1" si="28"/>
        <v>Yes</v>
      </c>
    </row>
    <row r="56" spans="1:12" x14ac:dyDescent="0.3">
      <c r="A56" s="14"/>
      <c r="B56" s="13"/>
      <c r="C56" s="20" t="s">
        <v>197</v>
      </c>
      <c r="D56" s="7">
        <f ca="1">IFERROR(INDIRECT(D$45&amp;"!D118"),"")</f>
        <v>0</v>
      </c>
      <c r="E56" s="7">
        <f t="shared" ref="E56:L56" ca="1" si="29">IFERROR(INDIRECT(E$45&amp;"!D118"),"")</f>
        <v>0</v>
      </c>
      <c r="F56" s="7">
        <f t="shared" ca="1" si="29"/>
        <v>0</v>
      </c>
      <c r="G56" s="7">
        <f t="shared" ca="1" si="29"/>
        <v>0</v>
      </c>
      <c r="H56" s="7">
        <f t="shared" ca="1" si="29"/>
        <v>0</v>
      </c>
      <c r="I56" s="7">
        <f t="shared" ca="1" si="29"/>
        <v>0</v>
      </c>
      <c r="J56" s="7">
        <f t="shared" ca="1" si="29"/>
        <v>0</v>
      </c>
      <c r="K56" s="7">
        <f t="shared" ca="1" si="29"/>
        <v>0</v>
      </c>
      <c r="L56" s="167">
        <f t="shared" ca="1" si="29"/>
        <v>0</v>
      </c>
    </row>
    <row r="57" spans="1:12" x14ac:dyDescent="0.3">
      <c r="A57" s="14"/>
      <c r="B57" s="13"/>
      <c r="C57" s="20" t="s">
        <v>198</v>
      </c>
      <c r="D57" s="7">
        <f ca="1">IFERROR(INDIRECT(D$45&amp;"!D120"),"")</f>
        <v>0</v>
      </c>
      <c r="E57" s="7">
        <f t="shared" ref="E57:L57" ca="1" si="30">IFERROR(INDIRECT(E$45&amp;"!D120"),"")</f>
        <v>0</v>
      </c>
      <c r="F57" s="7">
        <f t="shared" ca="1" si="30"/>
        <v>0</v>
      </c>
      <c r="G57" s="7">
        <f t="shared" ca="1" si="30"/>
        <v>0</v>
      </c>
      <c r="H57" s="7">
        <f t="shared" ca="1" si="30"/>
        <v>0</v>
      </c>
      <c r="I57" s="7">
        <f t="shared" ca="1" si="30"/>
        <v>0</v>
      </c>
      <c r="J57" s="7">
        <f t="shared" ca="1" si="30"/>
        <v>0</v>
      </c>
      <c r="K57" s="7">
        <f t="shared" ca="1" si="30"/>
        <v>0</v>
      </c>
      <c r="L57" s="167">
        <f t="shared" ca="1" si="30"/>
        <v>0</v>
      </c>
    </row>
    <row r="58" spans="1:12" ht="27" customHeight="1" x14ac:dyDescent="0.3">
      <c r="A58" s="14"/>
      <c r="B58" s="13"/>
      <c r="C58" s="149" t="s">
        <v>187</v>
      </c>
      <c r="D58" s="168" t="str">
        <f ca="1">IFERROR(IF(INDIRECT(D$45&amp;"!E115")="","n/a",VLOOKUP(INDIRECT(D$45&amp;"!E115"),Lookup!$L$2:$M$9,2,FALSE)),"")</f>
        <v>&lt; 10 ac impervious</v>
      </c>
      <c r="E58" s="168" t="str">
        <f ca="1">IFERROR(IF(INDIRECT(E$45&amp;"!E115")="","n/a",VLOOKUP(INDIRECT(E$45&amp;"!E115"),Lookup!$L$2:$M$9,2,FALSE)),"")</f>
        <v>&lt; 10 ac impervious</v>
      </c>
      <c r="F58" s="168" t="str">
        <f ca="1">IFERROR(IF(INDIRECT(F$45&amp;"!E115")="","n/a",VLOOKUP(INDIRECT(F$45&amp;"!E115"),Lookup!$L$2:$M$9,2,FALSE)),"")</f>
        <v>&lt; 10 ac impervious</v>
      </c>
      <c r="G58" s="168" t="str">
        <f ca="1">IFERROR(IF(INDIRECT(G$45&amp;"!E115")="","n/a",VLOOKUP(INDIRECT(G$45&amp;"!E115"),Lookup!$L$2:$M$9,2,FALSE)),"")</f>
        <v>n/a</v>
      </c>
      <c r="H58" s="168" t="str">
        <f ca="1">IFERROR(IF(INDIRECT(H$45&amp;"!E115")="","n/a",VLOOKUP(INDIRECT(H$45&amp;"!E115"),Lookup!$L$2:$M$9,2,FALSE)),"")</f>
        <v>n/a</v>
      </c>
      <c r="I58" s="168" t="str">
        <f ca="1">IFERROR(IF(INDIRECT(I$45&amp;"!E115")="","n/a",VLOOKUP(INDIRECT(I$45&amp;"!E115"),Lookup!$L$2:$M$9,2,FALSE)),"")</f>
        <v>n/a</v>
      </c>
      <c r="J58" s="168" t="str">
        <f ca="1">IFERROR(IF(INDIRECT(J$45&amp;"!E115")="","n/a",VLOOKUP(INDIRECT(J$45&amp;"!E115"),Lookup!$L$2:$M$9,2,FALSE)),"")</f>
        <v>n/a</v>
      </c>
      <c r="K58" s="168" t="str">
        <f ca="1">IFERROR(IF(INDIRECT(K$45&amp;"!E115")="","n/a",VLOOKUP(INDIRECT(K$45&amp;"!E115"),Lookup!$L$2:$M$9,2,FALSE)),"")</f>
        <v>n/a</v>
      </c>
      <c r="L58" s="169" t="str">
        <f ca="1">IFERROR(IF(INDIRECT(L$45&amp;"!E115")="","n/a",VLOOKUP(INDIRECT(L$45&amp;"!E115"),Lookup!$L$2:$M$9,2,FALSE)),"")</f>
        <v>n/a</v>
      </c>
    </row>
    <row r="59" spans="1:12" x14ac:dyDescent="0.3">
      <c r="A59" s="14"/>
      <c r="B59" s="13"/>
      <c r="C59" s="13"/>
      <c r="D59" s="13"/>
      <c r="E59" s="13"/>
      <c r="F59" s="13"/>
      <c r="G59" s="13"/>
      <c r="H59" s="13"/>
      <c r="I59" s="13"/>
      <c r="J59" s="13"/>
      <c r="K59" s="13"/>
      <c r="L59" s="60"/>
    </row>
    <row r="60" spans="1:12" ht="78" customHeight="1" x14ac:dyDescent="0.3">
      <c r="A60" s="14"/>
      <c r="B60" s="160" t="s">
        <v>200</v>
      </c>
      <c r="C60" s="321" t="s">
        <v>257</v>
      </c>
      <c r="D60" s="322"/>
      <c r="E60" s="322"/>
      <c r="F60" s="322"/>
      <c r="G60" s="322"/>
      <c r="H60" s="322"/>
      <c r="I60" s="322"/>
      <c r="J60" s="322"/>
      <c r="K60" s="322"/>
      <c r="L60" s="323"/>
    </row>
    <row r="61" spans="1:12" ht="15" thickBot="1" x14ac:dyDescent="0.35">
      <c r="A61" s="16"/>
      <c r="B61" s="17"/>
      <c r="C61" s="17"/>
      <c r="D61" s="17"/>
      <c r="E61" s="17"/>
      <c r="F61" s="17"/>
      <c r="G61" s="17"/>
      <c r="H61" s="17"/>
      <c r="I61" s="17"/>
      <c r="J61" s="17"/>
      <c r="K61" s="17"/>
      <c r="L61" s="70"/>
    </row>
    <row r="62" spans="1:12" ht="15.6" x14ac:dyDescent="0.3">
      <c r="A62" s="56" t="s">
        <v>206</v>
      </c>
      <c r="B62" s="57"/>
      <c r="C62" s="57"/>
      <c r="D62" s="57"/>
      <c r="E62" s="57"/>
      <c r="F62" s="57"/>
      <c r="G62" s="57"/>
      <c r="H62" s="57"/>
      <c r="I62" s="57"/>
      <c r="J62" s="57"/>
      <c r="K62" s="57"/>
      <c r="L62" s="58"/>
    </row>
    <row r="63" spans="1:12" ht="95.4" customHeight="1" x14ac:dyDescent="0.3">
      <c r="A63" s="333"/>
      <c r="B63" s="334"/>
      <c r="C63" s="334"/>
      <c r="D63" s="334"/>
      <c r="E63" s="334"/>
      <c r="F63" s="334"/>
      <c r="G63" s="334"/>
      <c r="H63" s="334"/>
      <c r="I63" s="334"/>
      <c r="J63" s="334"/>
      <c r="K63" s="334"/>
      <c r="L63" s="335"/>
    </row>
    <row r="64" spans="1:12" x14ac:dyDescent="0.3">
      <c r="A64" s="336"/>
      <c r="B64" s="337"/>
      <c r="C64" s="337"/>
      <c r="D64" s="337"/>
      <c r="E64" s="337"/>
      <c r="F64" s="337"/>
      <c r="G64" s="337"/>
      <c r="H64" s="337"/>
      <c r="I64" s="337"/>
      <c r="J64" s="337"/>
      <c r="K64" s="337"/>
      <c r="L64" s="338"/>
    </row>
    <row r="65" spans="1:12" x14ac:dyDescent="0.3">
      <c r="A65" s="336"/>
      <c r="B65" s="337"/>
      <c r="C65" s="337"/>
      <c r="D65" s="337"/>
      <c r="E65" s="337"/>
      <c r="F65" s="337"/>
      <c r="G65" s="337"/>
      <c r="H65" s="337"/>
      <c r="I65" s="337"/>
      <c r="J65" s="337"/>
      <c r="K65" s="337"/>
      <c r="L65" s="338"/>
    </row>
    <row r="66" spans="1:12" x14ac:dyDescent="0.3">
      <c r="A66" s="336"/>
      <c r="B66" s="337"/>
      <c r="C66" s="337"/>
      <c r="D66" s="337"/>
      <c r="E66" s="337"/>
      <c r="F66" s="337"/>
      <c r="G66" s="337"/>
      <c r="H66" s="337"/>
      <c r="I66" s="337"/>
      <c r="J66" s="337"/>
      <c r="K66" s="337"/>
      <c r="L66" s="338"/>
    </row>
    <row r="67" spans="1:12" x14ac:dyDescent="0.3">
      <c r="A67" s="336"/>
      <c r="B67" s="337"/>
      <c r="C67" s="337"/>
      <c r="D67" s="337"/>
      <c r="E67" s="337"/>
      <c r="F67" s="337"/>
      <c r="G67" s="337"/>
      <c r="H67" s="337"/>
      <c r="I67" s="337"/>
      <c r="J67" s="337"/>
      <c r="K67" s="337"/>
      <c r="L67" s="338"/>
    </row>
    <row r="68" spans="1:12" x14ac:dyDescent="0.3">
      <c r="A68" s="336"/>
      <c r="B68" s="337"/>
      <c r="C68" s="337"/>
      <c r="D68" s="337"/>
      <c r="E68" s="337"/>
      <c r="F68" s="337"/>
      <c r="G68" s="337"/>
      <c r="H68" s="337"/>
      <c r="I68" s="337"/>
      <c r="J68" s="337"/>
      <c r="K68" s="337"/>
      <c r="L68" s="338"/>
    </row>
    <row r="69" spans="1:12" x14ac:dyDescent="0.3">
      <c r="A69" s="336"/>
      <c r="B69" s="337"/>
      <c r="C69" s="337"/>
      <c r="D69" s="337"/>
      <c r="E69" s="337"/>
      <c r="F69" s="337"/>
      <c r="G69" s="337"/>
      <c r="H69" s="337"/>
      <c r="I69" s="337"/>
      <c r="J69" s="337"/>
      <c r="K69" s="337"/>
      <c r="L69" s="338"/>
    </row>
    <row r="70" spans="1:12" x14ac:dyDescent="0.3">
      <c r="A70" s="336"/>
      <c r="B70" s="337"/>
      <c r="C70" s="337"/>
      <c r="D70" s="337"/>
      <c r="E70" s="337"/>
      <c r="F70" s="337"/>
      <c r="G70" s="337"/>
      <c r="H70" s="337"/>
      <c r="I70" s="337"/>
      <c r="J70" s="337"/>
      <c r="K70" s="337"/>
      <c r="L70" s="338"/>
    </row>
    <row r="71" spans="1:12" x14ac:dyDescent="0.3">
      <c r="A71" s="336"/>
      <c r="B71" s="337"/>
      <c r="C71" s="337"/>
      <c r="D71" s="337"/>
      <c r="E71" s="337"/>
      <c r="F71" s="337"/>
      <c r="G71" s="337"/>
      <c r="H71" s="337"/>
      <c r="I71" s="337"/>
      <c r="J71" s="337"/>
      <c r="K71" s="337"/>
      <c r="L71" s="338"/>
    </row>
    <row r="72" spans="1:12" x14ac:dyDescent="0.3">
      <c r="A72" s="336"/>
      <c r="B72" s="337"/>
      <c r="C72" s="337"/>
      <c r="D72" s="337"/>
      <c r="E72" s="337"/>
      <c r="F72" s="337"/>
      <c r="G72" s="337"/>
      <c r="H72" s="337"/>
      <c r="I72" s="337"/>
      <c r="J72" s="337"/>
      <c r="K72" s="337"/>
      <c r="L72" s="338"/>
    </row>
    <row r="73" spans="1:12" x14ac:dyDescent="0.3">
      <c r="A73" s="336"/>
      <c r="B73" s="337"/>
      <c r="C73" s="337"/>
      <c r="D73" s="337"/>
      <c r="E73" s="337"/>
      <c r="F73" s="337"/>
      <c r="G73" s="337"/>
      <c r="H73" s="337"/>
      <c r="I73" s="337"/>
      <c r="J73" s="337"/>
      <c r="K73" s="337"/>
      <c r="L73" s="338"/>
    </row>
    <row r="74" spans="1:12" x14ac:dyDescent="0.3">
      <c r="A74" s="336"/>
      <c r="B74" s="337"/>
      <c r="C74" s="337"/>
      <c r="D74" s="337"/>
      <c r="E74" s="337"/>
      <c r="F74" s="337"/>
      <c r="G74" s="337"/>
      <c r="H74" s="337"/>
      <c r="I74" s="337"/>
      <c r="J74" s="337"/>
      <c r="K74" s="337"/>
      <c r="L74" s="338"/>
    </row>
    <row r="75" spans="1:12" x14ac:dyDescent="0.3">
      <c r="A75" s="336"/>
      <c r="B75" s="337"/>
      <c r="C75" s="337"/>
      <c r="D75" s="337"/>
      <c r="E75" s="337"/>
      <c r="F75" s="337"/>
      <c r="G75" s="337"/>
      <c r="H75" s="337"/>
      <c r="I75" s="337"/>
      <c r="J75" s="337"/>
      <c r="K75" s="337"/>
      <c r="L75" s="338"/>
    </row>
    <row r="76" spans="1:12" x14ac:dyDescent="0.3">
      <c r="A76" s="336"/>
      <c r="B76" s="337"/>
      <c r="C76" s="337"/>
      <c r="D76" s="337"/>
      <c r="E76" s="337"/>
      <c r="F76" s="337"/>
      <c r="G76" s="337"/>
      <c r="H76" s="337"/>
      <c r="I76" s="337"/>
      <c r="J76" s="337"/>
      <c r="K76" s="337"/>
      <c r="L76" s="338"/>
    </row>
    <row r="77" spans="1:12" x14ac:dyDescent="0.3">
      <c r="A77" s="336"/>
      <c r="B77" s="337"/>
      <c r="C77" s="337"/>
      <c r="D77" s="337"/>
      <c r="E77" s="337"/>
      <c r="F77" s="337"/>
      <c r="G77" s="337"/>
      <c r="H77" s="337"/>
      <c r="I77" s="337"/>
      <c r="J77" s="337"/>
      <c r="K77" s="337"/>
      <c r="L77" s="338"/>
    </row>
    <row r="78" spans="1:12" x14ac:dyDescent="0.3">
      <c r="A78" s="336"/>
      <c r="B78" s="337"/>
      <c r="C78" s="337"/>
      <c r="D78" s="337"/>
      <c r="E78" s="337"/>
      <c r="F78" s="337"/>
      <c r="G78" s="337"/>
      <c r="H78" s="337"/>
      <c r="I78" s="337"/>
      <c r="J78" s="337"/>
      <c r="K78" s="337"/>
      <c r="L78" s="338"/>
    </row>
    <row r="79" spans="1:12" x14ac:dyDescent="0.3">
      <c r="A79" s="336"/>
      <c r="B79" s="337"/>
      <c r="C79" s="337"/>
      <c r="D79" s="337"/>
      <c r="E79" s="337"/>
      <c r="F79" s="337"/>
      <c r="G79" s="337"/>
      <c r="H79" s="337"/>
      <c r="I79" s="337"/>
      <c r="J79" s="337"/>
      <c r="K79" s="337"/>
      <c r="L79" s="338"/>
    </row>
    <row r="80" spans="1:12" x14ac:dyDescent="0.3">
      <c r="A80" s="336"/>
      <c r="B80" s="337"/>
      <c r="C80" s="337"/>
      <c r="D80" s="337"/>
      <c r="E80" s="337"/>
      <c r="F80" s="337"/>
      <c r="G80" s="337"/>
      <c r="H80" s="337"/>
      <c r="I80" s="337"/>
      <c r="J80" s="337"/>
      <c r="K80" s="337"/>
      <c r="L80" s="338"/>
    </row>
    <row r="81" spans="1:12" x14ac:dyDescent="0.3">
      <c r="A81" s="336"/>
      <c r="B81" s="337"/>
      <c r="C81" s="337"/>
      <c r="D81" s="337"/>
      <c r="E81" s="337"/>
      <c r="F81" s="337"/>
      <c r="G81" s="337"/>
      <c r="H81" s="337"/>
      <c r="I81" s="337"/>
      <c r="J81" s="337"/>
      <c r="K81" s="337"/>
      <c r="L81" s="338"/>
    </row>
    <row r="82" spans="1:12" x14ac:dyDescent="0.3">
      <c r="A82" s="336"/>
      <c r="B82" s="337"/>
      <c r="C82" s="337"/>
      <c r="D82" s="337"/>
      <c r="E82" s="337"/>
      <c r="F82" s="337"/>
      <c r="G82" s="337"/>
      <c r="H82" s="337"/>
      <c r="I82" s="337"/>
      <c r="J82" s="337"/>
      <c r="K82" s="337"/>
      <c r="L82" s="338"/>
    </row>
    <row r="83" spans="1:12" x14ac:dyDescent="0.3">
      <c r="A83" s="336"/>
      <c r="B83" s="337"/>
      <c r="C83" s="337"/>
      <c r="D83" s="337"/>
      <c r="E83" s="337"/>
      <c r="F83" s="337"/>
      <c r="G83" s="337"/>
      <c r="H83" s="337"/>
      <c r="I83" s="337"/>
      <c r="J83" s="337"/>
      <c r="K83" s="337"/>
      <c r="L83" s="338"/>
    </row>
    <row r="84" spans="1:12" x14ac:dyDescent="0.3">
      <c r="A84" s="336"/>
      <c r="B84" s="337"/>
      <c r="C84" s="337"/>
      <c r="D84" s="337"/>
      <c r="E84" s="337"/>
      <c r="F84" s="337"/>
      <c r="G84" s="337"/>
      <c r="H84" s="337"/>
      <c r="I84" s="337"/>
      <c r="J84" s="337"/>
      <c r="K84" s="337"/>
      <c r="L84" s="338"/>
    </row>
    <row r="85" spans="1:12" ht="15" thickBot="1" x14ac:dyDescent="0.35">
      <c r="A85" s="339"/>
      <c r="B85" s="340"/>
      <c r="C85" s="340"/>
      <c r="D85" s="340"/>
      <c r="E85" s="340"/>
      <c r="F85" s="340"/>
      <c r="G85" s="340"/>
      <c r="H85" s="340"/>
      <c r="I85" s="340"/>
      <c r="J85" s="340"/>
      <c r="K85" s="340"/>
      <c r="L85" s="341"/>
    </row>
  </sheetData>
  <sheetProtection algorithmName="SHA-512" hashValue="BbbFmsuiwjof7md1DDaBMSCWMI5A6oHViUB1zCFmOTCkIeWkHT3BQi0LaSoiZAywRqQOaI85M3eB+VmJNneMug==" saltValue="IsiEsByQg6kDO35I5ZUxww==" spinCount="100000" sheet="1" objects="1" scenarios="1"/>
  <mergeCells count="13">
    <mergeCell ref="A30:L30"/>
    <mergeCell ref="A63:L85"/>
    <mergeCell ref="C32:L32"/>
    <mergeCell ref="C42:L42"/>
    <mergeCell ref="C51:L51"/>
    <mergeCell ref="C60:L60"/>
    <mergeCell ref="A6:A10"/>
    <mergeCell ref="A1:B1"/>
    <mergeCell ref="A4:L4"/>
    <mergeCell ref="C22:L22"/>
    <mergeCell ref="C1:G1"/>
    <mergeCell ref="B12:C12"/>
    <mergeCell ref="B13:C13"/>
  </mergeCells>
  <conditionalFormatting sqref="D29">
    <cfRule type="expression" dxfId="425" priority="108">
      <formula>D29="n/a"</formula>
    </cfRule>
    <cfRule type="expression" dxfId="424" priority="109">
      <formula>D29="Yes"</formula>
    </cfRule>
    <cfRule type="expression" dxfId="423" priority="110">
      <formula>D29="No"</formula>
    </cfRule>
  </conditionalFormatting>
  <conditionalFormatting sqref="D20:E20">
    <cfRule type="expression" dxfId="422" priority="100">
      <formula>D20="Yes"</formula>
    </cfRule>
    <cfRule type="expression" dxfId="421" priority="101">
      <formula>D20="No"</formula>
    </cfRule>
  </conditionalFormatting>
  <conditionalFormatting sqref="C20">
    <cfRule type="expression" dxfId="420" priority="91">
      <formula>C20="n/a"</formula>
    </cfRule>
    <cfRule type="expression" dxfId="419" priority="92">
      <formula>C20="Yes"</formula>
    </cfRule>
    <cfRule type="expression" dxfId="418" priority="93">
      <formula>C20="No"</formula>
    </cfRule>
  </conditionalFormatting>
  <conditionalFormatting sqref="C28:C29">
    <cfRule type="expression" dxfId="417" priority="88">
      <formula>C28="n/a"</formula>
    </cfRule>
    <cfRule type="expression" dxfId="416" priority="89">
      <formula>C28="Yes"</formula>
    </cfRule>
    <cfRule type="expression" dxfId="415" priority="90">
      <formula>C28="No"</formula>
    </cfRule>
  </conditionalFormatting>
  <conditionalFormatting sqref="D6:D13">
    <cfRule type="expression" dxfId="414" priority="85">
      <formula>D$11&gt;0</formula>
    </cfRule>
  </conditionalFormatting>
  <conditionalFormatting sqref="E5:L11">
    <cfRule type="expression" dxfId="413" priority="79">
      <formula>E$11=0</formula>
    </cfRule>
    <cfRule type="expression" dxfId="412" priority="81">
      <formula>E$11&gt;0</formula>
    </cfRule>
  </conditionalFormatting>
  <conditionalFormatting sqref="E6:L11">
    <cfRule type="expression" dxfId="411" priority="80">
      <formula>E$11&gt;0</formula>
    </cfRule>
  </conditionalFormatting>
  <conditionalFormatting sqref="E17:E20">
    <cfRule type="expression" dxfId="410" priority="73">
      <formula>E$11&gt;0</formula>
    </cfRule>
    <cfRule type="expression" dxfId="409" priority="78">
      <formula>E$11=0</formula>
    </cfRule>
  </conditionalFormatting>
  <conditionalFormatting sqref="D20">
    <cfRule type="expression" dxfId="408" priority="77">
      <formula>D$11=0</formula>
    </cfRule>
  </conditionalFormatting>
  <conditionalFormatting sqref="D17:D20">
    <cfRule type="expression" dxfId="407" priority="74">
      <formula>D$11=0</formula>
    </cfRule>
    <cfRule type="expression" dxfId="406" priority="76">
      <formula>D$11&gt;0</formula>
    </cfRule>
  </conditionalFormatting>
  <conditionalFormatting sqref="D18:D19">
    <cfRule type="expression" dxfId="405" priority="75">
      <formula>D$11&gt;0</formula>
    </cfRule>
  </conditionalFormatting>
  <conditionalFormatting sqref="E18:E19">
    <cfRule type="expression" dxfId="404" priority="72">
      <formula>E$11&gt;0</formula>
    </cfRule>
  </conditionalFormatting>
  <conditionalFormatting sqref="F20:L20">
    <cfRule type="expression" dxfId="403" priority="70">
      <formula>F20="Yes"</formula>
    </cfRule>
    <cfRule type="expression" dxfId="402" priority="71">
      <formula>F20="No"</formula>
    </cfRule>
  </conditionalFormatting>
  <conditionalFormatting sqref="F17:L20">
    <cfRule type="expression" dxfId="401" priority="68">
      <formula>F$11&gt;0</formula>
    </cfRule>
    <cfRule type="expression" dxfId="400" priority="69">
      <formula>F$11=0</formula>
    </cfRule>
  </conditionalFormatting>
  <conditionalFormatting sqref="F18:L19">
    <cfRule type="expression" dxfId="399" priority="67">
      <formula>F$11&gt;0</formula>
    </cfRule>
  </conditionalFormatting>
  <conditionalFormatting sqref="F28">
    <cfRule type="expression" dxfId="398" priority="65">
      <formula>F28="Yes"</formula>
    </cfRule>
    <cfRule type="expression" dxfId="397" priority="66">
      <formula>F28="No"</formula>
    </cfRule>
  </conditionalFormatting>
  <conditionalFormatting sqref="F25:F26 F28">
    <cfRule type="expression" dxfId="396" priority="63">
      <formula>F$11&gt;0</formula>
    </cfRule>
    <cfRule type="expression" dxfId="395" priority="64">
      <formula>F$11=0</formula>
    </cfRule>
  </conditionalFormatting>
  <conditionalFormatting sqref="F26">
    <cfRule type="expression" dxfId="394" priority="62">
      <formula>F$11&gt;0</formula>
    </cfRule>
  </conditionalFormatting>
  <conditionalFormatting sqref="E28">
    <cfRule type="expression" dxfId="393" priority="60">
      <formula>E28="Yes"</formula>
    </cfRule>
    <cfRule type="expression" dxfId="392" priority="61">
      <formula>E28="No"</formula>
    </cfRule>
  </conditionalFormatting>
  <conditionalFormatting sqref="E25:E26 E28">
    <cfRule type="expression" dxfId="391" priority="58">
      <formula>E$11&gt;0</formula>
    </cfRule>
    <cfRule type="expression" dxfId="390" priority="59">
      <formula>E$11=0</formula>
    </cfRule>
  </conditionalFormatting>
  <conditionalFormatting sqref="E26">
    <cfRule type="expression" dxfId="389" priority="57">
      <formula>E$11&gt;0</formula>
    </cfRule>
  </conditionalFormatting>
  <conditionalFormatting sqref="G28:L28">
    <cfRule type="expression" dxfId="388" priority="55">
      <formula>G28="Yes"</formula>
    </cfRule>
    <cfRule type="expression" dxfId="387" priority="56">
      <formula>G28="No"</formula>
    </cfRule>
  </conditionalFormatting>
  <conditionalFormatting sqref="G25:L26 G28:L28">
    <cfRule type="expression" dxfId="386" priority="53">
      <formula>G$11&gt;0</formula>
    </cfRule>
    <cfRule type="expression" dxfId="385" priority="54">
      <formula>G$11=0</formula>
    </cfRule>
  </conditionalFormatting>
  <conditionalFormatting sqref="G26:L26">
    <cfRule type="expression" dxfId="384" priority="52">
      <formula>G$11&gt;0</formula>
    </cfRule>
  </conditionalFormatting>
  <conditionalFormatting sqref="D35:D40">
    <cfRule type="expression" dxfId="383" priority="10">
      <formula>D$11&gt;0</formula>
    </cfRule>
    <cfRule type="expression" dxfId="382" priority="51">
      <formula>D$11=0</formula>
    </cfRule>
  </conditionalFormatting>
  <conditionalFormatting sqref="D36:D40">
    <cfRule type="expression" dxfId="381" priority="49">
      <formula>D$11&gt;0</formula>
    </cfRule>
  </conditionalFormatting>
  <conditionalFormatting sqref="E35:L36">
    <cfRule type="expression" dxfId="380" priority="47">
      <formula>E$11&gt;0</formula>
    </cfRule>
    <cfRule type="expression" dxfId="379" priority="48">
      <formula>E$11=0</formula>
    </cfRule>
  </conditionalFormatting>
  <conditionalFormatting sqref="E36:L36">
    <cfRule type="expression" dxfId="378" priority="46">
      <formula>E$11&gt;0</formula>
    </cfRule>
  </conditionalFormatting>
  <conditionalFormatting sqref="D45:D49">
    <cfRule type="expression" dxfId="377" priority="44">
      <formula>D$11&gt;0</formula>
    </cfRule>
    <cfRule type="expression" dxfId="376" priority="45">
      <formula>D$11=0</formula>
    </cfRule>
  </conditionalFormatting>
  <conditionalFormatting sqref="D46:D49">
    <cfRule type="expression" dxfId="375" priority="43">
      <formula>D$11&gt;0</formula>
    </cfRule>
  </conditionalFormatting>
  <conditionalFormatting sqref="E45:L49">
    <cfRule type="expression" dxfId="374" priority="41">
      <formula>E$11&gt;0</formula>
    </cfRule>
    <cfRule type="expression" dxfId="373" priority="42">
      <formula>E$11=0</formula>
    </cfRule>
  </conditionalFormatting>
  <conditionalFormatting sqref="E46:L49">
    <cfRule type="expression" dxfId="372" priority="40">
      <formula>E$11&gt;0</formula>
    </cfRule>
  </conditionalFormatting>
  <conditionalFormatting sqref="D54:D58">
    <cfRule type="expression" dxfId="371" priority="38">
      <formula>D$11&gt;0</formula>
    </cfRule>
    <cfRule type="expression" dxfId="370" priority="39">
      <formula>D$11=0</formula>
    </cfRule>
  </conditionalFormatting>
  <conditionalFormatting sqref="D55:D58">
    <cfRule type="expression" dxfId="369" priority="37">
      <formula>D$11&gt;0</formula>
    </cfRule>
  </conditionalFormatting>
  <conditionalFormatting sqref="E54:L54">
    <cfRule type="expression" dxfId="368" priority="35">
      <formula>E$11&gt;0</formula>
    </cfRule>
    <cfRule type="expression" dxfId="367" priority="36">
      <formula>E$11=0</formula>
    </cfRule>
  </conditionalFormatting>
  <conditionalFormatting sqref="E55:L58">
    <cfRule type="expression" dxfId="366" priority="31">
      <formula>E$11&gt;0</formula>
    </cfRule>
  </conditionalFormatting>
  <conditionalFormatting sqref="E55:L58">
    <cfRule type="expression" dxfId="365" priority="32">
      <formula>E$11&gt;0</formula>
    </cfRule>
    <cfRule type="expression" dxfId="364" priority="33">
      <formula>E$11=0</formula>
    </cfRule>
  </conditionalFormatting>
  <conditionalFormatting sqref="E37:L37">
    <cfRule type="expression" dxfId="363" priority="28">
      <formula>E$11&gt;0</formula>
    </cfRule>
  </conditionalFormatting>
  <conditionalFormatting sqref="E37:L37">
    <cfRule type="expression" dxfId="362" priority="29">
      <formula>E$11&gt;0</formula>
    </cfRule>
    <cfRule type="expression" dxfId="361" priority="30">
      <formula>E$11=0</formula>
    </cfRule>
  </conditionalFormatting>
  <conditionalFormatting sqref="E38:E40">
    <cfRule type="expression" dxfId="360" priority="26">
      <formula>E$11&gt;0</formula>
    </cfRule>
    <cfRule type="expression" dxfId="359" priority="27">
      <formula>E$11=0</formula>
    </cfRule>
  </conditionalFormatting>
  <conditionalFormatting sqref="E38:E40">
    <cfRule type="expression" dxfId="358" priority="25">
      <formula>E$11&gt;0</formula>
    </cfRule>
  </conditionalFormatting>
  <conditionalFormatting sqref="F38:F40">
    <cfRule type="expression" dxfId="357" priority="23">
      <formula>F$11&gt;0</formula>
    </cfRule>
    <cfRule type="expression" dxfId="356" priority="24">
      <formula>F$11=0</formula>
    </cfRule>
  </conditionalFormatting>
  <conditionalFormatting sqref="F38:F40">
    <cfRule type="expression" dxfId="355" priority="22">
      <formula>F$11&gt;0</formula>
    </cfRule>
  </conditionalFormatting>
  <conditionalFormatting sqref="G38:L40">
    <cfRule type="expression" dxfId="354" priority="20">
      <formula>G$11&gt;0</formula>
    </cfRule>
    <cfRule type="expression" dxfId="353" priority="21">
      <formula>G$11=0</formula>
    </cfRule>
  </conditionalFormatting>
  <conditionalFormatting sqref="G38:L40">
    <cfRule type="expression" dxfId="352" priority="19">
      <formula>G$11&gt;0</formula>
    </cfRule>
  </conditionalFormatting>
  <conditionalFormatting sqref="D28">
    <cfRule type="expression" dxfId="351" priority="17">
      <formula>D28="Yes"</formula>
    </cfRule>
    <cfRule type="expression" dxfId="350" priority="18">
      <formula>D28="No"</formula>
    </cfRule>
  </conditionalFormatting>
  <conditionalFormatting sqref="D25:D28">
    <cfRule type="expression" dxfId="349" priority="15">
      <formula>D$11&gt;0</formula>
    </cfRule>
    <cfRule type="expression" dxfId="348" priority="16">
      <formula>D$11=0</formula>
    </cfRule>
  </conditionalFormatting>
  <conditionalFormatting sqref="D26:D27">
    <cfRule type="expression" dxfId="347" priority="14">
      <formula>D$11&gt;0</formula>
    </cfRule>
  </conditionalFormatting>
  <conditionalFormatting sqref="E27:L27">
    <cfRule type="expression" dxfId="346" priority="12">
      <formula>E$11&gt;0</formula>
    </cfRule>
    <cfRule type="expression" dxfId="345" priority="13">
      <formula>E$11=0</formula>
    </cfRule>
  </conditionalFormatting>
  <conditionalFormatting sqref="E27:L27">
    <cfRule type="expression" dxfId="344" priority="11">
      <formula>E$11&gt;0</formula>
    </cfRule>
  </conditionalFormatting>
  <conditionalFormatting sqref="D5:D13">
    <cfRule type="expression" dxfId="343" priority="82">
      <formula>D$11=0</formula>
    </cfRule>
    <cfRule type="expression" dxfId="342" priority="86">
      <formula>D$11&gt;0</formula>
    </cfRule>
  </conditionalFormatting>
  <conditionalFormatting sqref="E12:L13">
    <cfRule type="expression" dxfId="341" priority="8">
      <formula>E$11&gt;0</formula>
    </cfRule>
  </conditionalFormatting>
  <conditionalFormatting sqref="E12:L13">
    <cfRule type="expression" dxfId="340" priority="7">
      <formula>E$11=0</formula>
    </cfRule>
    <cfRule type="expression" dxfId="339" priority="9">
      <formula>E$11&gt;0</formula>
    </cfRule>
  </conditionalFormatting>
  <conditionalFormatting sqref="D14">
    <cfRule type="expression" dxfId="338" priority="5">
      <formula>D$11&gt;0</formula>
    </cfRule>
    <cfRule type="expression" dxfId="337" priority="6">
      <formula>D$11=0</formula>
    </cfRule>
  </conditionalFormatting>
  <conditionalFormatting sqref="E14:K14">
    <cfRule type="expression" dxfId="336" priority="3">
      <formula>E$11&gt;0</formula>
    </cfRule>
    <cfRule type="expression" dxfId="335" priority="4">
      <formula>E$11=0</formula>
    </cfRule>
  </conditionalFormatting>
  <conditionalFormatting sqref="L14">
    <cfRule type="expression" dxfId="334" priority="2">
      <formula>$L$12=0</formula>
    </cfRule>
    <cfRule type="expression" dxfId="333" priority="1">
      <formula>$L$11&gt;0</formula>
    </cfRule>
  </conditionalFormatting>
  <pageMargins left="0.5" right="0.5" top="0.75" bottom="0.75" header="0.3" footer="0.3"/>
  <pageSetup orientation="portrait" r:id="rId1"/>
  <headerFooter>
    <oddHeader>&amp;C&amp;"-,Bold"&amp;14Vermont Operational Stormwater Permit - Standards Compliance Workbook</oddHeader>
    <oddFooter>&amp;LLast Updated 11/20/2017&amp;R&amp;A: 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O125"/>
  <sheetViews>
    <sheetView view="pageLayout" zoomScale="80" zoomScaleNormal="100" zoomScalePageLayoutView="80" workbookViewId="0">
      <selection activeCell="B71" sqref="B71:G71"/>
    </sheetView>
  </sheetViews>
  <sheetFormatPr defaultRowHeight="14.4" x14ac:dyDescent="0.3"/>
  <cols>
    <col min="1" max="1" width="21.88671875" customWidth="1"/>
    <col min="2" max="6" width="12.21875" customWidth="1"/>
    <col min="7" max="7" width="7.21875" customWidth="1"/>
    <col min="9" max="9" width="8.6640625" customWidth="1"/>
  </cols>
  <sheetData>
    <row r="1" spans="1:15" ht="18" x14ac:dyDescent="0.35">
      <c r="A1" s="96" t="s">
        <v>32</v>
      </c>
      <c r="B1" s="97"/>
      <c r="C1" s="97"/>
      <c r="D1" s="97"/>
      <c r="E1" s="97"/>
      <c r="F1" s="97"/>
      <c r="G1" s="98"/>
      <c r="H1" s="32"/>
      <c r="I1" s="21"/>
      <c r="J1" s="21"/>
    </row>
    <row r="2" spans="1:15" x14ac:dyDescent="0.3">
      <c r="A2" s="14"/>
      <c r="B2" s="13"/>
      <c r="C2" s="45" t="s">
        <v>29</v>
      </c>
      <c r="D2" s="411" t="str">
        <f>IF(Summary!C1="","",Summary!C1)</f>
        <v>East Street Industrial Park</v>
      </c>
      <c r="E2" s="411"/>
      <c r="F2" s="411"/>
      <c r="G2" s="99"/>
      <c r="H2" s="22"/>
      <c r="I2" s="22"/>
      <c r="J2" s="22"/>
    </row>
    <row r="3" spans="1:15" x14ac:dyDescent="0.3">
      <c r="A3" s="14"/>
      <c r="B3" s="13"/>
      <c r="C3" s="45" t="s">
        <v>30</v>
      </c>
      <c r="D3" s="415">
        <v>1</v>
      </c>
      <c r="E3" s="416"/>
      <c r="F3" s="417"/>
      <c r="G3" s="99"/>
      <c r="H3" s="22"/>
      <c r="I3" s="22"/>
      <c r="J3" s="22"/>
    </row>
    <row r="4" spans="1:15" x14ac:dyDescent="0.3">
      <c r="A4" s="14"/>
      <c r="B4" s="13"/>
      <c r="C4" s="45" t="s">
        <v>31</v>
      </c>
      <c r="D4" s="427" t="s">
        <v>258</v>
      </c>
      <c r="E4" s="428"/>
      <c r="F4" s="429"/>
      <c r="G4" s="99"/>
      <c r="H4" s="22"/>
      <c r="I4" s="22"/>
      <c r="J4" s="22"/>
    </row>
    <row r="5" spans="1:15" x14ac:dyDescent="0.3">
      <c r="A5" s="14"/>
      <c r="B5" s="13"/>
      <c r="C5" s="45" t="s">
        <v>172</v>
      </c>
      <c r="D5" s="430">
        <v>44.000010000000003</v>
      </c>
      <c r="E5" s="430"/>
      <c r="F5" s="430"/>
      <c r="G5" s="99"/>
      <c r="H5" s="22"/>
      <c r="I5" s="22"/>
      <c r="J5" s="22"/>
    </row>
    <row r="6" spans="1:15" ht="15.6" customHeight="1" x14ac:dyDescent="0.3">
      <c r="A6" s="14"/>
      <c r="B6" s="13"/>
      <c r="C6" s="46" t="s">
        <v>177</v>
      </c>
      <c r="D6" s="431">
        <v>-73.000010000000003</v>
      </c>
      <c r="E6" s="432"/>
      <c r="F6" s="433"/>
      <c r="G6" s="99"/>
      <c r="H6" s="22"/>
      <c r="I6" s="22"/>
      <c r="J6" s="22"/>
    </row>
    <row r="7" spans="1:15" ht="9.6" customHeight="1" x14ac:dyDescent="0.3">
      <c r="A7" s="14"/>
      <c r="B7" s="13"/>
      <c r="C7" s="13"/>
      <c r="D7" s="13"/>
      <c r="E7" s="13"/>
      <c r="F7" s="15"/>
      <c r="G7" s="99"/>
      <c r="H7" s="22"/>
      <c r="I7" s="22"/>
      <c r="J7" s="22"/>
    </row>
    <row r="8" spans="1:15" ht="18" x14ac:dyDescent="0.35">
      <c r="A8" s="91" t="s">
        <v>53</v>
      </c>
      <c r="B8" s="434" t="s">
        <v>40</v>
      </c>
      <c r="C8" s="434"/>
      <c r="D8" s="434"/>
      <c r="E8" s="76" t="s">
        <v>41</v>
      </c>
      <c r="F8" s="13"/>
      <c r="G8" s="60"/>
      <c r="K8" s="23"/>
      <c r="L8" s="13"/>
      <c r="M8" s="13"/>
      <c r="N8" s="13"/>
      <c r="O8" s="13"/>
    </row>
    <row r="9" spans="1:15" x14ac:dyDescent="0.3">
      <c r="A9" s="130" t="s">
        <v>52</v>
      </c>
      <c r="B9" s="131" t="s">
        <v>54</v>
      </c>
      <c r="C9" s="132" t="s">
        <v>55</v>
      </c>
      <c r="D9" s="132" t="s">
        <v>56</v>
      </c>
      <c r="E9" s="132" t="s">
        <v>57</v>
      </c>
      <c r="F9" s="13"/>
      <c r="G9" s="60"/>
      <c r="K9" s="13"/>
      <c r="L9" s="13"/>
      <c r="M9" s="13"/>
      <c r="N9" s="13"/>
    </row>
    <row r="10" spans="1:15" x14ac:dyDescent="0.3">
      <c r="A10" s="61" t="s">
        <v>0</v>
      </c>
      <c r="B10" s="217">
        <v>1</v>
      </c>
      <c r="C10" s="218">
        <v>2.2000000000000002</v>
      </c>
      <c r="D10" s="218">
        <v>3.99</v>
      </c>
      <c r="E10" s="218">
        <v>6.11</v>
      </c>
      <c r="F10" s="13"/>
      <c r="G10" s="60"/>
      <c r="K10" s="13"/>
      <c r="L10" s="13"/>
      <c r="M10" s="13"/>
      <c r="N10" s="13"/>
    </row>
    <row r="11" spans="1:15" ht="12.6" customHeight="1" thickBot="1" x14ac:dyDescent="0.35">
      <c r="A11" s="100"/>
      <c r="B11" s="101"/>
      <c r="C11" s="102"/>
      <c r="D11" s="102"/>
      <c r="E11" s="102"/>
      <c r="F11" s="102"/>
      <c r="G11" s="70"/>
      <c r="K11" s="13"/>
      <c r="L11" s="6"/>
      <c r="M11" s="13"/>
      <c r="N11" s="13"/>
      <c r="O11" s="13"/>
    </row>
    <row r="12" spans="1:15" ht="15.6" x14ac:dyDescent="0.3">
      <c r="A12" s="77" t="s">
        <v>82</v>
      </c>
      <c r="B12" s="94"/>
      <c r="C12" s="95"/>
      <c r="D12" s="95"/>
      <c r="E12" s="95"/>
      <c r="F12" s="95"/>
      <c r="G12" s="58"/>
      <c r="K12" s="13"/>
      <c r="L12" s="6"/>
      <c r="M12" s="13"/>
      <c r="N12" s="13"/>
      <c r="O12" s="13"/>
    </row>
    <row r="13" spans="1:15" ht="15.6" x14ac:dyDescent="0.3">
      <c r="A13" s="425" t="s">
        <v>58</v>
      </c>
      <c r="B13" s="426"/>
      <c r="C13" s="426"/>
      <c r="D13" s="426"/>
      <c r="E13" s="426"/>
      <c r="F13" s="426"/>
      <c r="G13" s="60"/>
      <c r="K13" s="13"/>
      <c r="L13" s="6"/>
      <c r="M13" s="13"/>
      <c r="N13" s="13"/>
      <c r="O13" s="13"/>
    </row>
    <row r="14" spans="1:15" x14ac:dyDescent="0.3">
      <c r="A14" s="243" t="s">
        <v>8</v>
      </c>
      <c r="B14" s="242" t="s">
        <v>2</v>
      </c>
      <c r="C14" s="242" t="s">
        <v>3</v>
      </c>
      <c r="D14" s="242" t="s">
        <v>4</v>
      </c>
      <c r="E14" s="242" t="s">
        <v>5</v>
      </c>
      <c r="F14" s="241" t="s">
        <v>13</v>
      </c>
      <c r="G14" s="385"/>
      <c r="H14" s="19"/>
      <c r="I14" s="19"/>
      <c r="J14" s="19"/>
      <c r="K14" s="13"/>
      <c r="L14" s="13"/>
      <c r="M14" s="13"/>
      <c r="N14" s="13"/>
      <c r="O14" s="13"/>
    </row>
    <row r="15" spans="1:15" ht="15.6" x14ac:dyDescent="0.3">
      <c r="A15" s="111" t="s">
        <v>6</v>
      </c>
      <c r="B15" s="216">
        <v>0</v>
      </c>
      <c r="C15" s="216">
        <v>0</v>
      </c>
      <c r="D15" s="216">
        <v>0.05</v>
      </c>
      <c r="E15" s="216">
        <v>2.62</v>
      </c>
      <c r="F15" s="133">
        <f t="shared" ref="F15:F18" si="0">SUM(B15:E15)</f>
        <v>2.67</v>
      </c>
      <c r="G15" s="385"/>
      <c r="H15" s="19"/>
      <c r="I15" s="19"/>
      <c r="J15" s="19"/>
      <c r="K15" s="10"/>
      <c r="L15" s="13"/>
      <c r="M15" s="13"/>
      <c r="N15" s="13"/>
      <c r="O15" s="13"/>
    </row>
    <row r="16" spans="1:15" x14ac:dyDescent="0.3">
      <c r="A16" s="111" t="s">
        <v>38</v>
      </c>
      <c r="B16" s="216">
        <v>0</v>
      </c>
      <c r="C16" s="216">
        <v>0</v>
      </c>
      <c r="D16" s="216">
        <v>0</v>
      </c>
      <c r="E16" s="216">
        <v>0</v>
      </c>
      <c r="F16" s="133">
        <f t="shared" si="0"/>
        <v>0</v>
      </c>
      <c r="G16" s="60"/>
      <c r="H16" s="1"/>
      <c r="I16" s="33"/>
      <c r="J16" s="33"/>
      <c r="K16" s="13"/>
      <c r="L16" s="22"/>
      <c r="M16" s="13"/>
      <c r="N16" s="13"/>
      <c r="O16" s="13"/>
    </row>
    <row r="17" spans="1:15" x14ac:dyDescent="0.3">
      <c r="A17" s="111" t="s">
        <v>7</v>
      </c>
      <c r="B17" s="216">
        <v>0</v>
      </c>
      <c r="C17" s="216">
        <v>0</v>
      </c>
      <c r="D17" s="216">
        <v>0.1</v>
      </c>
      <c r="E17" s="216">
        <v>0.03</v>
      </c>
      <c r="F17" s="133">
        <f t="shared" si="0"/>
        <v>0.13</v>
      </c>
      <c r="G17" s="60"/>
      <c r="H17" s="1"/>
      <c r="I17" s="33"/>
      <c r="J17" s="33"/>
      <c r="K17" s="13"/>
      <c r="L17" s="22"/>
      <c r="M17" s="13"/>
      <c r="N17" s="13"/>
      <c r="O17" s="13"/>
    </row>
    <row r="18" spans="1:15" x14ac:dyDescent="0.3">
      <c r="A18" s="224" t="s">
        <v>251</v>
      </c>
      <c r="B18" s="216">
        <v>0</v>
      </c>
      <c r="C18" s="216">
        <v>0</v>
      </c>
      <c r="D18" s="216">
        <v>0</v>
      </c>
      <c r="E18" s="216">
        <v>0</v>
      </c>
      <c r="F18" s="133">
        <f t="shared" si="0"/>
        <v>0</v>
      </c>
      <c r="G18" s="60"/>
      <c r="H18" s="19"/>
      <c r="I18" s="19"/>
      <c r="J18" s="34"/>
      <c r="K18" s="13"/>
      <c r="L18" s="22"/>
      <c r="M18" s="13"/>
      <c r="N18" s="13"/>
      <c r="O18" s="13"/>
    </row>
    <row r="19" spans="1:15" s="181" customFormat="1" ht="13.8" customHeight="1" x14ac:dyDescent="0.3">
      <c r="A19" s="68"/>
      <c r="B19" s="255"/>
      <c r="C19" s="255"/>
      <c r="D19" s="271"/>
      <c r="E19" s="261" t="s">
        <v>249</v>
      </c>
      <c r="F19" s="274">
        <v>0</v>
      </c>
      <c r="G19" s="60"/>
      <c r="H19" s="19"/>
      <c r="I19" s="19"/>
      <c r="J19" s="34"/>
      <c r="K19" s="13"/>
      <c r="L19" s="6"/>
      <c r="M19" s="13"/>
      <c r="N19" s="13"/>
      <c r="O19" s="13"/>
    </row>
    <row r="20" spans="1:15" s="181" customFormat="1" ht="13.8" customHeight="1" x14ac:dyDescent="0.3">
      <c r="A20" s="68"/>
      <c r="B20" s="255"/>
      <c r="C20" s="255"/>
      <c r="D20" s="255"/>
      <c r="E20" s="261" t="s">
        <v>250</v>
      </c>
      <c r="F20" s="272">
        <f>SUM(F15:F19)</f>
        <v>2.8</v>
      </c>
      <c r="G20" s="60"/>
      <c r="H20" s="19"/>
      <c r="I20" s="19"/>
      <c r="J20" s="34"/>
      <c r="K20" s="13"/>
      <c r="L20" s="6"/>
      <c r="M20" s="13"/>
      <c r="N20" s="13"/>
      <c r="O20" s="13"/>
    </row>
    <row r="21" spans="1:15" ht="28.2" customHeight="1" x14ac:dyDescent="0.3">
      <c r="A21" s="353" t="str">
        <f>IF(F18=0,IF(F28+F29+F30&gt;0,"Existing and/or redeveloped impervious has been defined in post development. User must define existing impervious in pre development.",""),"")</f>
        <v/>
      </c>
      <c r="B21" s="354"/>
      <c r="C21" s="354"/>
      <c r="D21" s="354"/>
      <c r="E21" s="354"/>
      <c r="F21" s="354"/>
      <c r="G21" s="355"/>
      <c r="H21" s="19"/>
      <c r="I21" s="19"/>
      <c r="J21" s="34"/>
      <c r="K21" s="13"/>
      <c r="L21" s="6"/>
      <c r="M21" s="13"/>
      <c r="N21" s="13"/>
      <c r="O21" s="13"/>
    </row>
    <row r="22" spans="1:15" ht="15.6" x14ac:dyDescent="0.3">
      <c r="A22" s="397" t="s">
        <v>123</v>
      </c>
      <c r="B22" s="398"/>
      <c r="C22" s="398"/>
      <c r="D22" s="398"/>
      <c r="E22" s="398"/>
      <c r="F22" s="398"/>
      <c r="G22" s="262" t="s">
        <v>246</v>
      </c>
      <c r="H22" s="19"/>
      <c r="I22" s="19"/>
      <c r="J22" s="34"/>
      <c r="K22" s="13"/>
      <c r="L22" s="6"/>
      <c r="M22" s="13"/>
      <c r="N22" s="13"/>
      <c r="O22" s="13"/>
    </row>
    <row r="23" spans="1:15" ht="13.8" customHeight="1" x14ac:dyDescent="0.3">
      <c r="A23" s="243" t="s">
        <v>8</v>
      </c>
      <c r="B23" s="242" t="s">
        <v>2</v>
      </c>
      <c r="C23" s="242" t="s">
        <v>3</v>
      </c>
      <c r="D23" s="242" t="s">
        <v>4</v>
      </c>
      <c r="E23" s="242" t="s">
        <v>5</v>
      </c>
      <c r="F23" s="241" t="s">
        <v>13</v>
      </c>
      <c r="G23" s="60"/>
      <c r="L23" s="6"/>
      <c r="M23" s="13"/>
      <c r="N23" s="13"/>
      <c r="O23" s="13"/>
    </row>
    <row r="24" spans="1:15" x14ac:dyDescent="0.3">
      <c r="A24" s="111" t="s">
        <v>6</v>
      </c>
      <c r="B24" s="216">
        <v>0</v>
      </c>
      <c r="C24" s="216">
        <v>0</v>
      </c>
      <c r="D24" s="216">
        <v>0</v>
      </c>
      <c r="E24" s="216">
        <v>1.62</v>
      </c>
      <c r="F24" s="133">
        <f>SUM(B24:E24)</f>
        <v>1.62</v>
      </c>
      <c r="G24" s="60"/>
      <c r="L24" s="13"/>
      <c r="M24" s="13"/>
      <c r="N24" s="13"/>
      <c r="O24" s="13"/>
    </row>
    <row r="25" spans="1:15" x14ac:dyDescent="0.3">
      <c r="A25" s="111" t="s">
        <v>38</v>
      </c>
      <c r="B25" s="216">
        <v>0</v>
      </c>
      <c r="C25" s="216">
        <v>0</v>
      </c>
      <c r="D25" s="216">
        <v>0</v>
      </c>
      <c r="E25" s="216">
        <v>0</v>
      </c>
      <c r="F25" s="133">
        <f>SUM(B25:E25)</f>
        <v>0</v>
      </c>
      <c r="G25" s="60"/>
      <c r="L25" s="13"/>
      <c r="M25" s="13"/>
      <c r="N25" s="13"/>
      <c r="O25" s="13"/>
    </row>
    <row r="26" spans="1:15" x14ac:dyDescent="0.3">
      <c r="A26" s="111" t="s">
        <v>7</v>
      </c>
      <c r="B26" s="216">
        <v>0</v>
      </c>
      <c r="C26" s="216">
        <v>0</v>
      </c>
      <c r="D26" s="216">
        <v>0.15</v>
      </c>
      <c r="E26" s="216">
        <v>0.06</v>
      </c>
      <c r="F26" s="133">
        <f>SUM(B26:E26)</f>
        <v>0.21</v>
      </c>
      <c r="G26" s="60"/>
      <c r="L26" s="6"/>
      <c r="M26" s="13"/>
      <c r="N26" s="13"/>
      <c r="O26" s="13"/>
    </row>
    <row r="27" spans="1:15" s="181" customFormat="1" x14ac:dyDescent="0.3">
      <c r="A27" s="244" t="s">
        <v>243</v>
      </c>
      <c r="B27" s="256">
        <v>0</v>
      </c>
      <c r="C27" s="256">
        <v>0</v>
      </c>
      <c r="D27" s="256">
        <v>0</v>
      </c>
      <c r="E27" s="256">
        <v>0.97</v>
      </c>
      <c r="F27" s="257">
        <f>SUM(B27:E27)</f>
        <v>0.97</v>
      </c>
      <c r="G27" s="263">
        <f>IF(F32=0,0,F27/$F$32)</f>
        <v>0.34642857142857142</v>
      </c>
      <c r="L27" s="6"/>
      <c r="M27" s="13"/>
      <c r="N27" s="13"/>
      <c r="O27" s="13"/>
    </row>
    <row r="28" spans="1:15" s="181" customFormat="1" ht="43.2" x14ac:dyDescent="0.3">
      <c r="A28" s="254" t="s">
        <v>244</v>
      </c>
      <c r="B28" s="253">
        <v>0</v>
      </c>
      <c r="C28" s="253">
        <v>0</v>
      </c>
      <c r="D28" s="253">
        <v>0</v>
      </c>
      <c r="E28" s="253">
        <v>0</v>
      </c>
      <c r="F28" s="234">
        <f>SUM(B28:E28)</f>
        <v>0</v>
      </c>
      <c r="G28" s="264">
        <f>IF(F32=0,0,F28/$F$32)</f>
        <v>0</v>
      </c>
      <c r="L28" s="6"/>
      <c r="M28" s="13"/>
      <c r="N28" s="13"/>
      <c r="O28" s="13"/>
    </row>
    <row r="29" spans="1:15" s="181" customFormat="1" x14ac:dyDescent="0.3">
      <c r="A29" s="254"/>
      <c r="B29" s="276"/>
      <c r="C29" s="276"/>
      <c r="D29" s="276"/>
      <c r="E29" s="277" t="s">
        <v>247</v>
      </c>
      <c r="F29" s="275">
        <v>0</v>
      </c>
      <c r="G29" s="263">
        <f>IF(F32=0,0,F29/$F$32)</f>
        <v>0</v>
      </c>
      <c r="L29" s="6"/>
      <c r="M29" s="13"/>
      <c r="N29" s="13"/>
      <c r="O29" s="13"/>
    </row>
    <row r="30" spans="1:15" s="181" customFormat="1" x14ac:dyDescent="0.3">
      <c r="A30" s="14"/>
      <c r="B30" s="278"/>
      <c r="C30" s="278"/>
      <c r="D30" s="278"/>
      <c r="E30" s="279" t="s">
        <v>39</v>
      </c>
      <c r="F30" s="275">
        <v>0</v>
      </c>
      <c r="G30" s="263">
        <f>IF(F32=0,0,F30/$F$32)</f>
        <v>0</v>
      </c>
      <c r="H30" s="19"/>
      <c r="I30" s="19"/>
      <c r="J30" s="34"/>
      <c r="K30" s="13"/>
      <c r="L30" s="6"/>
      <c r="M30" s="13"/>
      <c r="N30" s="13"/>
      <c r="O30" s="13"/>
    </row>
    <row r="31" spans="1:15" s="181" customFormat="1" x14ac:dyDescent="0.3">
      <c r="A31" s="14"/>
      <c r="B31" s="356" t="s">
        <v>248</v>
      </c>
      <c r="C31" s="356"/>
      <c r="D31" s="356"/>
      <c r="E31" s="356"/>
      <c r="F31" s="273">
        <f>F19</f>
        <v>0</v>
      </c>
      <c r="G31" s="263">
        <f>IF(F32=0,0,F31/$F$32)</f>
        <v>0</v>
      </c>
      <c r="H31" s="19"/>
      <c r="I31" s="19"/>
      <c r="J31" s="34"/>
      <c r="K31" s="13"/>
      <c r="L31" s="6"/>
      <c r="M31" s="13"/>
      <c r="N31" s="13"/>
      <c r="O31" s="13"/>
    </row>
    <row r="32" spans="1:15" x14ac:dyDescent="0.3">
      <c r="A32" s="14"/>
      <c r="B32" s="278"/>
      <c r="C32" s="278"/>
      <c r="D32" s="280"/>
      <c r="E32" s="281" t="s">
        <v>9</v>
      </c>
      <c r="F32" s="235">
        <f>SUM(F24:F31)</f>
        <v>2.8</v>
      </c>
      <c r="G32" s="60"/>
      <c r="H32" s="1"/>
      <c r="I32" s="33"/>
      <c r="J32" s="33"/>
      <c r="K32" s="13"/>
      <c r="L32" s="6"/>
      <c r="M32" s="13"/>
      <c r="N32" s="13"/>
      <c r="O32" s="13"/>
    </row>
    <row r="33" spans="1:15" s="181" customFormat="1" ht="7.2" customHeight="1" x14ac:dyDescent="0.3">
      <c r="A33" s="14"/>
      <c r="B33" s="13"/>
      <c r="C33" s="13"/>
      <c r="D33" s="255"/>
      <c r="E33" s="145"/>
      <c r="F33" s="255"/>
      <c r="G33" s="60"/>
      <c r="H33" s="1"/>
      <c r="I33" s="33"/>
      <c r="J33" s="33"/>
      <c r="K33" s="13"/>
      <c r="L33" s="6"/>
      <c r="M33" s="13"/>
      <c r="N33" s="13"/>
      <c r="O33" s="13"/>
    </row>
    <row r="34" spans="1:15" s="181" customFormat="1" x14ac:dyDescent="0.3">
      <c r="A34" s="14"/>
      <c r="B34" s="13"/>
      <c r="C34" s="13"/>
      <c r="D34" s="255"/>
      <c r="E34" s="260" t="s">
        <v>220</v>
      </c>
      <c r="F34" s="235">
        <f>F31+F30+F28+F27</f>
        <v>0.97</v>
      </c>
      <c r="G34" s="60"/>
      <c r="H34" s="1"/>
      <c r="I34" s="33"/>
      <c r="J34" s="33"/>
      <c r="K34" s="13"/>
      <c r="L34" s="6"/>
      <c r="M34" s="13"/>
      <c r="N34" s="13"/>
      <c r="O34" s="13"/>
    </row>
    <row r="35" spans="1:15" s="181" customFormat="1" x14ac:dyDescent="0.3">
      <c r="A35" s="14"/>
      <c r="B35" s="13"/>
      <c r="C35" s="13"/>
      <c r="D35" s="255"/>
      <c r="E35" s="261" t="s">
        <v>202</v>
      </c>
      <c r="F35" s="259">
        <f>IF(F18-(F27+F28+F30+F29+F31)&lt;0,0,F18-(F27+F28+F30+F29+F31))</f>
        <v>0</v>
      </c>
      <c r="G35" s="263">
        <f>IF(F18=0,0,F35/F18)</f>
        <v>0</v>
      </c>
      <c r="H35" s="1"/>
      <c r="I35" s="33"/>
      <c r="J35" s="33"/>
      <c r="K35" s="13"/>
      <c r="L35" s="6"/>
      <c r="M35" s="13"/>
      <c r="N35" s="13"/>
      <c r="O35" s="13"/>
    </row>
    <row r="36" spans="1:15" s="181" customFormat="1" x14ac:dyDescent="0.3">
      <c r="A36" s="14"/>
      <c r="B36" s="13"/>
      <c r="C36" s="13"/>
      <c r="D36" s="255"/>
      <c r="E36" s="261" t="s">
        <v>245</v>
      </c>
      <c r="F36" s="259">
        <f>IF((F18-F29-F28-F30)&lt;0,0,(F18-F29-F28-F30))</f>
        <v>0</v>
      </c>
      <c r="G36" s="263">
        <f>IF(F18-F28-F29=0,0,F36/(F18-F28-F29))</f>
        <v>0</v>
      </c>
      <c r="H36" s="1"/>
      <c r="I36" s="33"/>
      <c r="J36" s="33"/>
      <c r="K36" s="13"/>
      <c r="L36" s="6"/>
      <c r="M36" s="13"/>
      <c r="N36" s="13"/>
      <c r="O36" s="13"/>
    </row>
    <row r="37" spans="1:15" s="181" customFormat="1" ht="7.2" customHeight="1" x14ac:dyDescent="0.3">
      <c r="A37" s="14"/>
      <c r="B37" s="13"/>
      <c r="C37" s="13"/>
      <c r="D37" s="255"/>
      <c r="E37" s="258"/>
      <c r="F37" s="19"/>
      <c r="G37" s="60"/>
      <c r="H37" s="1"/>
      <c r="I37" s="33"/>
      <c r="J37" s="33"/>
      <c r="K37" s="13"/>
      <c r="L37" s="6"/>
      <c r="M37" s="13"/>
      <c r="N37" s="13"/>
      <c r="O37" s="13"/>
    </row>
    <row r="38" spans="1:15" s="119" customFormat="1" ht="30.6" customHeight="1" thickBot="1" x14ac:dyDescent="0.35">
      <c r="A38" s="402" t="str">
        <f>IF(F32=F20,"","WARNING: Pre development and post development areas don't match, so evaluation of the Hydrologic Condition Method is not appropriate within this drainage area. Designer may consider HCM across drainage areas.")</f>
        <v/>
      </c>
      <c r="B38" s="403"/>
      <c r="C38" s="403"/>
      <c r="D38" s="403"/>
      <c r="E38" s="403"/>
      <c r="F38" s="403"/>
      <c r="G38" s="404"/>
      <c r="H38" s="1"/>
      <c r="I38" s="33"/>
      <c r="J38" s="33"/>
      <c r="K38" s="13"/>
      <c r="L38" s="6"/>
      <c r="M38" s="13"/>
      <c r="N38" s="13"/>
      <c r="O38" s="13"/>
    </row>
    <row r="39" spans="1:15" ht="43.2" x14ac:dyDescent="0.3">
      <c r="A39" s="405" t="s">
        <v>242</v>
      </c>
      <c r="B39" s="406"/>
      <c r="C39" s="57"/>
      <c r="D39" s="236"/>
      <c r="E39" s="237" t="s">
        <v>219</v>
      </c>
      <c r="F39" s="238" t="s">
        <v>218</v>
      </c>
      <c r="G39" s="58"/>
      <c r="H39" s="1"/>
      <c r="I39" s="33"/>
      <c r="K39" s="13"/>
      <c r="L39" s="6"/>
      <c r="M39" s="13"/>
      <c r="N39" s="13"/>
      <c r="O39" s="13"/>
    </row>
    <row r="40" spans="1:15" ht="14.4" customHeight="1" x14ac:dyDescent="0.3">
      <c r="A40" s="407"/>
      <c r="B40" s="408"/>
      <c r="C40" s="13"/>
      <c r="D40" s="20" t="s">
        <v>216</v>
      </c>
      <c r="E40" s="198">
        <v>1.77</v>
      </c>
      <c r="F40" s="171">
        <v>387.65</v>
      </c>
      <c r="G40" s="60"/>
      <c r="H40" s="1"/>
      <c r="I40" s="33"/>
      <c r="J40" s="33"/>
      <c r="K40" s="13"/>
      <c r="L40" s="6"/>
      <c r="M40" s="13"/>
      <c r="N40" s="13"/>
      <c r="O40" s="13"/>
    </row>
    <row r="41" spans="1:15" ht="14.4" customHeight="1" x14ac:dyDescent="0.3">
      <c r="A41" s="407"/>
      <c r="B41" s="408"/>
      <c r="C41" s="13"/>
      <c r="D41" s="20" t="s">
        <v>217</v>
      </c>
      <c r="E41" s="198">
        <v>1.87</v>
      </c>
      <c r="F41" s="171">
        <v>387.65</v>
      </c>
      <c r="G41" s="60"/>
      <c r="H41" s="1"/>
      <c r="I41" s="33"/>
      <c r="J41" s="33"/>
      <c r="K41" s="13"/>
      <c r="L41" s="6"/>
      <c r="M41" s="13"/>
      <c r="N41" s="13"/>
      <c r="O41" s="13"/>
    </row>
    <row r="42" spans="1:15" ht="7.2" customHeight="1" thickBot="1" x14ac:dyDescent="0.35">
      <c r="A42" s="16"/>
      <c r="B42" s="92"/>
      <c r="C42" s="192"/>
      <c r="D42" s="192"/>
      <c r="E42" s="192"/>
      <c r="F42" s="193"/>
      <c r="G42" s="70"/>
      <c r="H42" s="1"/>
      <c r="I42" s="33"/>
      <c r="J42" s="33"/>
      <c r="K42" s="13"/>
      <c r="L42" s="6"/>
      <c r="M42" s="13"/>
      <c r="N42" s="13"/>
      <c r="O42" s="13"/>
    </row>
    <row r="43" spans="1:15" ht="14.4" customHeight="1" x14ac:dyDescent="0.35">
      <c r="A43" s="56" t="s">
        <v>59</v>
      </c>
      <c r="B43" s="240"/>
      <c r="C43" s="57"/>
      <c r="D43" s="123" t="s">
        <v>60</v>
      </c>
      <c r="E43" s="123" t="s">
        <v>61</v>
      </c>
      <c r="F43" s="123" t="s">
        <v>62</v>
      </c>
      <c r="G43" s="58"/>
      <c r="K43" s="10"/>
      <c r="L43" s="13"/>
      <c r="M43" s="13"/>
      <c r="N43" s="13"/>
      <c r="O43" s="13"/>
    </row>
    <row r="44" spans="1:15" ht="14.4" customHeight="1" x14ac:dyDescent="0.3">
      <c r="A44" s="399" t="s">
        <v>112</v>
      </c>
      <c r="B44" s="386"/>
      <c r="C44" s="400"/>
      <c r="D44" s="265">
        <f>(IF($C$10&lt;0.2*Lookup!$B$13,0,(('SN1'!$C$10-0.2*Lookup!$B$13)^2/('SN1'!$C$10+0.8*Lookup!$B$13)))*$B$15+IF($C$10&lt;0.2*Lookup!$B$14,0,(('SN1'!$C$10-0.2*Lookup!$B$14)^2/('SN1'!$C$10+0.8*Lookup!$B$14)))*$B$16+IF($C$10&lt;0.2*Lookup!$B$15,0,(('SN1'!$C$10-0.2*Lookup!$B$15)^2/('SN1'!$C$10+0.8*Lookup!$B$15)))*$B$17++IF($C$10&lt;0.2*Lookup!$B$17,0,(('SN1'!$C$10-0.2*Lookup!$B$17)^2/('SN1'!$C$10+0.8*Lookup!$B$17)))*$B$18+IF($C$10&lt;0.2*Lookup!$C$13,0,(('SN1'!$C$10-0.2*Lookup!$C$13)^2/('SN1'!C$10+0.8*Lookup!$C$13)))*$C$15+IF($C$10&lt;0.2*Lookup!$C$14,0,(('SN1'!$C$10-0.2*Lookup!$C$14)^2/('SN1'!$C$10+0.8*Lookup!$C$14)))*$C$16+IF($C$10&lt;0.2*Lookup!$C$15,0,(('SN1'!$C$10-0.2*Lookup!$C$15)^2/('SN1'!$C$10+0.8*Lookup!$C$15)))*$C$17+IF($C$10&lt;0.2*Lookup!$C$17,0,(('SN1'!$C$10-0.2*Lookup!$C$17)^2/('SN1'!$C$10+0.8*Lookup!$C$17)))*$C$18+IF($C$10&lt;0.2*Lookup!$D$13,0,(('SN1'!$C$10-0.2*Lookup!$D$13)^2/('SN1'!$C$10+0.8*Lookup!$D$13)))*$D$15+IF($C$10&lt;0.2*Lookup!$D$14,0,(('SN1'!$C$10-0.2*Lookup!$D$14)^2/('SN1'!$C$10+0.8*Lookup!$D$14)))*$D$16+IF($C$10&lt;0.2*Lookup!$D$15,0,(('SN1'!$C$10-0.2*Lookup!$D$15)^2/('SN1'!$C$10+0.8*Lookup!$D$15)))*$D$17+IF($C$10&lt;0.2*Lookup!$D$17,0,(('SN1'!$C$10-0.2*Lookup!$D$17)^2/('SN1'!$C$10+0.8*Lookup!$D$17)))*$D$18+IF($C$10&lt;0.2*Lookup!$E$13,0,(('SN1'!$C$10-0.2*Lookup!$E$13)^2/('SN1'!$C$10+0.8*Lookup!$E$13)))*$E$15+IF($C$10&lt;0.2*Lookup!$E$14,0,(('SN1'!$C$10-0.2*Lookup!$E$14)^2/('SN1'!$C$10+0.8*Lookup!$E$14)))*$E$16+IF($C$10&lt;0.2*Lookup!$E$15,0,(('SN1'!$C$10-0.2*Lookup!$E$15)^2/('SN1'!$C$10+0.8*Lookup!$E$15)))*$E$17+IF($C$10&lt;0.2*Lookup!$E$17,0,(('SN1'!$C$10-0.2*Lookup!$E$17)^2/('SN1'!$C$10+0.8*Lookup!$E$17)))*$E$18)/12</f>
        <v>0.15616713961116876</v>
      </c>
      <c r="E44" s="265">
        <f>(IF($D$10&lt;0.2*Lookup!$B$13,0,(('SN1'!$D$10-0.2*Lookup!$B$13)^2/('SN1'!$D$10+0.8*Lookup!$B$13)))*$B$15+IF($D$10&lt;0.2*Lookup!$B$14,0,(('SN1'!$D$10-0.2*Lookup!$B$14)^2/('SN1'!$D$10+0.8*Lookup!$B$14)))*$B$16+IF($D$10&lt;0.2*Lookup!$B$15,0,(('SN1'!$D$10-0.2*Lookup!$B$15)^2/('SN1'!$D$10+0.8*Lookup!$B$15)))*$B$17++IF($D$10&lt;0.2*Lookup!$B$17,0,(('SN1'!$D$10-0.2*Lookup!$B$17)^2/('SN1'!$D$10+0.8*Lookup!$B$17)))*$B$18+IF($D$10&lt;0.2*Lookup!$C$13,0,(('SN1'!$D$10-0.2*Lookup!$C$13)^2/('SN1'!C$10+0.8*Lookup!$C$13)))*$C$15+IF($D$10&lt;0.2*Lookup!$C$14,0,(('SN1'!$D$10-0.2*Lookup!$C$14)^2/('SN1'!$D$10+0.8*Lookup!$C$14)))*$C$16+IF($D$10&lt;0.2*Lookup!$C$15,0,(('SN1'!$D$10-0.2*Lookup!$C$15)^2/('SN1'!$D$10+0.8*Lookup!$C$15)))*$C$17+IF($D$10&lt;0.2*Lookup!$C$17,0,(('SN1'!$D$10-0.2*Lookup!$C$17)^2/('SN1'!$D$10+0.8*Lookup!$C$17)))*$C$18+IF($D$10&lt;0.2*Lookup!$D$13,0,(('SN1'!$D$10-0.2*Lookup!$D$13)^2/('SN1'!$D$10+0.8*Lookup!$D$13)))*$D$15+IF($D$10&lt;0.2*Lookup!$D$14,0,(('SN1'!$D$10-0.2*Lookup!$D$14)^2/('SN1'!$D$10+0.8*Lookup!$D$14)))*$D$16+IF($D$10&lt;0.2*Lookup!$D$15,0,(('SN1'!$D$10-0.2*Lookup!$D$15)^2/('SN1'!$D$10+0.8*Lookup!$D$15)))*$D$17+IF($D$10&lt;0.2*Lookup!$D$17,0,(('SN1'!$D$10-0.2*Lookup!$D$17)^2/('SN1'!$D$10+0.8*Lookup!$D$17)))*$D$18+IF($D$10&lt;0.2*Lookup!$E$13,0,(('SN1'!$D$10-0.2*Lookup!$E$13)^2/('SN1'!$D$10+0.8*Lookup!$E$13)))*$E$15+IF($D$10&lt;0.2*Lookup!$E$14,0,(('SN1'!$D$10-0.2*Lookup!$E$14)^2/('SN1'!$D$10+0.8*Lookup!$E$14)))*$E$16+IF($D$10&lt;0.2*Lookup!$E$15,0,(('SN1'!$D$10-0.2*Lookup!$E$15)^2/('SN1'!$D$10+0.8*Lookup!$E$15)))*$E$17++IF($D$10&lt;0.2*Lookup!$E$17,0,(('SN1'!$D$10-0.2*Lookup!$E$17)^2/('SN1'!$D$10+0.8*Lookup!$E$17)))*$E$18)/12</f>
        <v>0.46611635112270777</v>
      </c>
      <c r="F44" s="265">
        <f>(IF($E$10&lt;0.2*Lookup!$B$13,0,(('SN1'!$E$10-0.2*Lookup!$B$13)^2/('SN1'!$E$10+0.8*Lookup!$B$13)))*$B$15+IF($E$10&lt;0.2*Lookup!$B$14,0,(('SN1'!$E$10-0.2*Lookup!$B$14)^2/('SN1'!$E$10+0.8*Lookup!$B$14)))*$B$16+IF($E$10&lt;0.2*Lookup!$B$15,0,(('SN1'!$E$10-0.2*Lookup!$B$15)^2/('SN1'!$E$10+0.8*Lookup!$B$15)))*$B$17++IF($E$10&lt;0.2*Lookup!$B$17,0,(('SN1'!$E$10-0.2*Lookup!$B$17)^2/('SN1'!$E$10+0.8*Lookup!$B$17)))*$B$18+IF($E$10&lt;0.2*Lookup!$C$13,0,(('SN1'!$E$10-0.2*Lookup!$C$13)^2/('SN1'!C$10+0.8*Lookup!$C$13)))*$C$15+IF($E$10&lt;0.2*Lookup!$C$14,0,(('SN1'!$E$10-0.2*Lookup!$C$14)^2/('SN1'!$E$10+0.8*Lookup!$C$14)))*$C$16+IF($E$10&lt;0.2*Lookup!$C$15,0,(('SN1'!$E$10-0.2*Lookup!$C$15)^2/('SN1'!$E$10+0.8*Lookup!$C$15)))*$C$17+IF($E$10&lt;0.2*Lookup!$C$17,0,(('SN1'!$E$10-0.2*Lookup!$C$17)^2/('SN1'!$E$10+0.8*Lookup!$C$17)))*$C$18+IF($E$10&lt;0.2*Lookup!$D$13,0,(('SN1'!$E$10-0.2*Lookup!$D$13)^2/('SN1'!$E$10+0.8*Lookup!$D$13)))*$D$15+IF($E$10&lt;0.2*Lookup!$D$14,0,(('SN1'!$E$10-0.2*Lookup!$D$14)^2/('SN1'!$E$10+0.8*Lookup!$D$14)))*$D$16+IF($E$10&lt;0.2*Lookup!$D$15,0,(('SN1'!$E$10-0.2*Lookup!$D$15)^2/('SN1'!$E$10+0.8*Lookup!$D$15)))*$D$17+IF($E$10&lt;0.2*Lookup!$D$17,0,(('SN1'!$E$10-0.2*Lookup!$D$17)^2/('SN1'!$E$10+0.8*Lookup!$D$17)))*$D$18+IF($E$10&lt;0.2*Lookup!$E$13,0,(('SN1'!$E$10-0.2*Lookup!$E$13)^2/('SN1'!$E$10+0.8*Lookup!$E$13)))*$E$15+IF($E$10&lt;0.2*Lookup!$E$14,0,(('SN1'!$E$10-0.2*Lookup!$E$14)^2/('SN1'!$E$10+0.8*Lookup!$E$14)))*$E$16+IF($E$10&lt;0.2*Lookup!$E$15,0,(('SN1'!$E$10-0.2*Lookup!$E$15)^2/('SN1'!$E$10+0.8*Lookup!$E$15)))*$E$17++IF($E$10&lt;0.2*Lookup!$E$17,0,(('SN1'!$E$10-0.2*Lookup!$E$17)^2/('SN1'!$E$10+0.8*Lookup!$E$17)))*$E$18)/12</f>
        <v>0.89397704244287157</v>
      </c>
      <c r="G44" s="60"/>
      <c r="K44" s="13"/>
      <c r="L44" s="6"/>
      <c r="M44" s="13"/>
      <c r="N44" s="13"/>
      <c r="O44" s="13"/>
    </row>
    <row r="45" spans="1:15" ht="14.4" customHeight="1" x14ac:dyDescent="0.3">
      <c r="A45" s="399" t="s">
        <v>113</v>
      </c>
      <c r="B45" s="386"/>
      <c r="C45" s="400"/>
      <c r="D45" s="265">
        <f>(IF($C$10&lt;0.2*Lookup!$B$13,0,(('SN1'!$C$10-0.2*Lookup!$B$13)^2/('SN1'!$C$10+0.8*Lookup!$B$13)))*$B$24+IF($C$10&lt;0.2*Lookup!$B$14,0,(('SN1'!$C$10-0.2*Lookup!$B$14)^2/('SN1'!$C$10+0.8*Lookup!$B$14)))*$B$25+IF($C$10&lt;0.2*Lookup!$B$15,0,(('SN1'!$C$10-0.2*Lookup!$B$15)^2/('SN1'!$C$10+0.8*Lookup!$B$15)))*$B$26+IF($C$10&lt;0.2*Lookup!$C$13,0,(('SN1'!$C$10-0.2*Lookup!$C$13)^2/('SN1'!C$10+0.8*Lookup!$C$13)))*$C$24+IF($C$10&lt;0.2*Lookup!$C$14,0,(('SN1'!$C$10-0.2*Lookup!$C$14)^2/('SN1'!$C$10+0.8*Lookup!$C$14)))*$C$25+IF($C$10&lt;0.2*Lookup!$C$15,0,(('SN1'!$C$10-0.2*Lookup!$C$15)^2/('SN1'!$C$10+0.8*Lookup!$C$15)))*$C$26+IF($C$10&lt;0.2*Lookup!$D$13,0,(('SN1'!$C$10-0.2*Lookup!$D$13)^2/('SN1'!$C$10+0.8*Lookup!$D$13)))*$D$24+IF($C$10&lt;0.2*Lookup!$D$14,0,(('SN1'!$C$10-0.2*Lookup!$D$14)^2/('SN1'!$C$10+0.8*Lookup!$D$14)))*$D$25+IF($C$10&lt;0.2*Lookup!$D$15,0,(('SN1'!$C$10-0.2*Lookup!$D$15)^2/('SN1'!$C$10+0.8*Lookup!$D$15)))*$D$26+IF($C$10&lt;0.2*Lookup!$E$13,0,(('SN1'!$C$10-0.2*Lookup!$E$13)^2/('SN1'!$C$10+0.8*Lookup!$E$13)))*$E$24+IF($C$10&lt;0.2*Lookup!$E$14,0,(('SN1'!$C$10-0.2*Lookup!$E$14)^2/('SN1'!$C$10+0.8*Lookup!$E$14)))*$E$25+IF($C$10&lt;0.2*Lookup!$E$15,0,(('SN1'!$C$10-0.2*Lookup!$E$15)^2/('SN1'!$C$10+0.8*Lookup!$E$15)))*$E$26+(($C$10-0.2*Lookup!B17)^2/($C$10+0.8*Lookup!B17)*(F27+F28+F29+F30)))/12</f>
        <v>0.25915753240686279</v>
      </c>
      <c r="E45" s="265">
        <f>(IF($D$10&lt;0.2*Lookup!$B$13,0,(('SN1'!$D$10-0.2*Lookup!$B$13)^2/('SN1'!$D$10+0.8*Lookup!$B$13)))*$B$24+IF($D$10&lt;0.2*Lookup!$B$14,0,(('SN1'!$D$10-0.2*Lookup!$B$14)^2/('SN1'!$D$10+0.8*Lookup!$B$14)))*$B$25+IF($D$10&lt;0.2*Lookup!$B$15,0,(('SN1'!$D$10-0.2*Lookup!$B$15)^2/('SN1'!$D$10+0.8*Lookup!$B$15)))*$B$26+IF($D$10&lt;0.2*Lookup!$C$13,0,(('SN1'!$D$10-0.2*Lookup!$C$13)^2/('SN1'!C$10+0.8*Lookup!$C$13)))*$C$24+IF($D$10&lt;0.2*Lookup!$C$14,0,(('SN1'!$D$10-0.2*Lookup!$C$14)^2/('SN1'!$D$10+0.8*Lookup!$C$14)))*$C$25+IF($D$10&lt;0.2*Lookup!$C$15,0,(('SN1'!$D$10-0.2*Lookup!$C$15)^2/('SN1'!$D$10+0.8*Lookup!$C$15)))*$C$26+IF($D$10&lt;0.2*Lookup!$D$13,0,(('SN1'!$D$10-0.2*Lookup!$D$13)^2/('SN1'!$D$10+0.8*Lookup!$D$13)))*$D$24+IF($D$10&lt;0.2*Lookup!$D$14,0,(('SN1'!$D$10-0.2*Lookup!$D$14)^2/('SN1'!$D$10+0.8*Lookup!$D$14)))*$D$25+IF($D$10&lt;0.2*Lookup!$D$15,0,(('SN1'!$D$10-0.2*Lookup!$D$15)^2/('SN1'!$D$10+0.8*Lookup!$D$15)))*$D$26+IF($D$10&lt;0.2*Lookup!$E$13,0,(('SN1'!$D$10-0.2*Lookup!$E$13)^2/('SN1'!$D$10+0.8*Lookup!$E$13)))*$E$24+IF($D$10&lt;0.2*Lookup!$E$14,0,(('SN1'!$D$10-0.2*Lookup!$E$14)^2/('SN1'!$D$10+0.8*Lookup!$E$14)))*$E$25+IF($D$10&lt;0.2*Lookup!$E$15,0,(('SN1'!$D$10-0.2*Lookup!$E$15)^2/('SN1'!$D$10+0.8*Lookup!$E$15)))*$E$26+(($D$10-0.2*Lookup!B17)^2/($D$10+0.8*Lookup!B17)*(F27+F28+F29+F30)))/12</f>
        <v>0.60360769734412811</v>
      </c>
      <c r="F45" s="265">
        <f>(IF($E$10&lt;0.2*Lookup!$B$13,0,(('SN1'!$E$10-0.2*Lookup!$B$13)^2/('SN1'!$E$10+0.8*Lookup!$B$13)))*$B$24+IF($E$10&lt;0.2*Lookup!$B$14,0,(('SN1'!$E$10-0.2*Lookup!$B$14)^2/('SN1'!$E$10+0.8*Lookup!$B$14)))*$B$25+IF($E$10&lt;0.2*Lookup!$B$15,0,(('SN1'!$E$10-0.2*Lookup!$B$15)^2/('SN1'!$E$10+0.8*Lookup!$B$15)))*$B$26+IF($E$10&lt;0.2*Lookup!$C$13,0,(('SN1'!$E$10-0.2*Lookup!$C$13)^2/('SN1'!C$10+0.8*Lookup!$C$13)))*$C$24+IF($E$10&lt;0.2*Lookup!$C$14,0,(('SN1'!$E$10-0.2*Lookup!$C$14)^2/('SN1'!$E$10+0.8*Lookup!$C$14)))*$C$25+IF($E$10&lt;0.2*Lookup!$C$15,0,(('SN1'!$E$10-0.2*Lookup!$C$15)^2/('SN1'!$E$10+0.8*Lookup!$C$15)))*$C$26+IF($E$10&lt;0.2*Lookup!$D$13,0,(('SN1'!$E$10-0.2*Lookup!$D$13)^2/('SN1'!$E$10+0.8*Lookup!$D$13)))*$D$24+IF($E$10&lt;0.2*Lookup!$D$14,0,(('SN1'!$E$10-0.2*Lookup!$D$14)^2/('SN1'!$E$10+0.8*Lookup!$D$14)))*$D$25+IF($E$10&lt;0.2*Lookup!$D$15,0,(('SN1'!$E$10-0.2*Lookup!$D$15)^2/('SN1'!$E$10+0.8*Lookup!$D$15)))*$D$26+IF($E$10&lt;0.2*Lookup!$E$13,0,(('SN1'!$E$10-0.2*Lookup!$E$13)^2/('SN1'!$E$10+0.8*Lookup!$E$13)))*$E$24+IF($E$10&lt;0.2*Lookup!$E$14,0,(('SN1'!$E$10-0.2*Lookup!$E$14)^2/('SN1'!$E$10+0.8*Lookup!$E$14)))*$E$25+IF($E$10&lt;0.2*Lookup!$E$15,0,(('SN1'!$E$10-0.2*Lookup!$E$15)^2/('SN1'!$E$10+0.8*Lookup!$E$15)))*$E$26+(($E$10-0.2*Lookup!B17)^2/($E$10+0.8*Lookup!B17)*(F27+F28+F29+F30)))/12</f>
        <v>1.0525563027725406</v>
      </c>
      <c r="G45" s="60"/>
      <c r="K45" s="13"/>
      <c r="L45" s="6"/>
      <c r="M45" s="13"/>
      <c r="N45" s="13"/>
      <c r="O45" s="13"/>
    </row>
    <row r="46" spans="1:15" ht="15.6" customHeight="1" thickBot="1" x14ac:dyDescent="0.35">
      <c r="A46" s="16"/>
      <c r="B46" s="89"/>
      <c r="C46" s="92"/>
      <c r="D46" s="93"/>
      <c r="E46" s="89"/>
      <c r="F46" s="89"/>
      <c r="G46" s="70"/>
      <c r="K46" s="13"/>
      <c r="L46" s="6"/>
      <c r="M46" s="13"/>
      <c r="N46" s="13"/>
      <c r="O46" s="13"/>
    </row>
    <row r="47" spans="1:15" ht="15.6" x14ac:dyDescent="0.3">
      <c r="A47" s="56" t="s">
        <v>64</v>
      </c>
      <c r="B47" s="85"/>
      <c r="C47" s="86"/>
      <c r="D47" s="87"/>
      <c r="E47" s="85"/>
      <c r="F47" s="85"/>
      <c r="G47" s="58"/>
      <c r="K47" s="13"/>
      <c r="L47" s="6"/>
      <c r="M47" s="13"/>
      <c r="N47" s="13"/>
      <c r="O47" s="13"/>
    </row>
    <row r="48" spans="1:15" s="104" customFormat="1" ht="44.4" customHeight="1" x14ac:dyDescent="0.3">
      <c r="A48" s="394" t="s">
        <v>214</v>
      </c>
      <c r="B48" s="395"/>
      <c r="C48" s="395"/>
      <c r="D48" s="395"/>
      <c r="E48" s="395"/>
      <c r="F48" s="395"/>
      <c r="G48" s="396"/>
      <c r="K48" s="13"/>
      <c r="L48" s="6"/>
      <c r="M48" s="13"/>
      <c r="N48" s="13"/>
      <c r="O48" s="13"/>
    </row>
    <row r="49" spans="1:15" ht="15.6" x14ac:dyDescent="0.35">
      <c r="A49" s="88" t="s">
        <v>71</v>
      </c>
      <c r="B49" s="117" t="s">
        <v>166</v>
      </c>
      <c r="C49" s="409" t="s">
        <v>71</v>
      </c>
      <c r="D49" s="410"/>
      <c r="E49" s="42" t="s">
        <v>166</v>
      </c>
      <c r="F49" s="19"/>
      <c r="G49" s="60"/>
      <c r="K49" s="13"/>
      <c r="L49" s="6"/>
      <c r="M49" s="13"/>
      <c r="N49" s="13"/>
      <c r="O49" s="13"/>
    </row>
    <row r="50" spans="1:15" x14ac:dyDescent="0.3">
      <c r="A50" s="195"/>
      <c r="B50" s="172"/>
      <c r="C50" s="351"/>
      <c r="D50" s="352"/>
      <c r="E50" s="173"/>
      <c r="F50" s="13"/>
      <c r="G50" s="60"/>
      <c r="I50" s="113"/>
      <c r="J50" s="113"/>
      <c r="K50" s="113"/>
      <c r="L50" s="6"/>
      <c r="M50" s="13"/>
      <c r="N50" s="13"/>
      <c r="O50" s="13"/>
    </row>
    <row r="51" spans="1:15" x14ac:dyDescent="0.3">
      <c r="A51" s="195"/>
      <c r="B51" s="172"/>
      <c r="C51" s="351"/>
      <c r="D51" s="352"/>
      <c r="E51" s="173"/>
      <c r="F51" s="13"/>
      <c r="G51" s="60"/>
      <c r="I51" s="113"/>
      <c r="J51" s="113"/>
      <c r="K51" s="113"/>
      <c r="L51" s="6"/>
      <c r="M51" s="13"/>
      <c r="N51" s="13"/>
      <c r="O51" s="13"/>
    </row>
    <row r="52" spans="1:15" x14ac:dyDescent="0.3">
      <c r="A52" s="195"/>
      <c r="B52" s="172"/>
      <c r="C52" s="351"/>
      <c r="D52" s="352"/>
      <c r="E52" s="173"/>
      <c r="F52" s="13"/>
      <c r="G52" s="60"/>
      <c r="I52" s="113"/>
      <c r="J52" s="113"/>
      <c r="K52" s="113"/>
      <c r="L52" s="6"/>
      <c r="M52" s="13"/>
      <c r="N52" s="13"/>
      <c r="O52" s="13"/>
    </row>
    <row r="53" spans="1:15" x14ac:dyDescent="0.3">
      <c r="A53" s="195"/>
      <c r="B53" s="172"/>
      <c r="C53" s="351"/>
      <c r="D53" s="352"/>
      <c r="E53" s="173"/>
      <c r="F53" s="19"/>
      <c r="G53" s="60"/>
      <c r="K53" s="13"/>
      <c r="L53" s="6"/>
      <c r="M53" s="13"/>
      <c r="N53" s="13"/>
      <c r="O53" s="13"/>
    </row>
    <row r="54" spans="1:15" x14ac:dyDescent="0.3">
      <c r="A54" s="195"/>
      <c r="B54" s="172"/>
      <c r="C54" s="351"/>
      <c r="D54" s="352"/>
      <c r="E54" s="173"/>
      <c r="F54" s="19"/>
      <c r="G54" s="60"/>
      <c r="K54" s="13"/>
      <c r="L54" s="6"/>
      <c r="M54" s="13"/>
      <c r="N54" s="13"/>
      <c r="O54" s="13"/>
    </row>
    <row r="55" spans="1:15" ht="13.8" customHeight="1" thickBot="1" x14ac:dyDescent="0.35">
      <c r="A55" s="16"/>
      <c r="B55" s="89"/>
      <c r="C55" s="90"/>
      <c r="D55" s="90"/>
      <c r="E55" s="89"/>
      <c r="F55" s="89"/>
      <c r="G55" s="70"/>
      <c r="K55" s="13"/>
      <c r="L55" s="6"/>
      <c r="M55" s="13"/>
      <c r="N55" s="13"/>
      <c r="O55" s="13"/>
    </row>
    <row r="56" spans="1:15" ht="15.6" x14ac:dyDescent="0.3">
      <c r="A56" s="77" t="s">
        <v>109</v>
      </c>
      <c r="B56" s="78"/>
      <c r="C56" s="78"/>
      <c r="D56" s="79"/>
      <c r="E56" s="79"/>
      <c r="F56" s="79"/>
      <c r="G56" s="58"/>
      <c r="K56" s="13"/>
      <c r="L56" s="6"/>
      <c r="M56" s="13"/>
      <c r="N56" s="13"/>
      <c r="O56" s="13"/>
    </row>
    <row r="57" spans="1:15" ht="15.6" x14ac:dyDescent="0.3">
      <c r="A57" s="80" t="s">
        <v>33</v>
      </c>
      <c r="B57" s="47" t="s">
        <v>73</v>
      </c>
      <c r="C57" s="47" t="s">
        <v>74</v>
      </c>
      <c r="D57" s="48" t="s">
        <v>75</v>
      </c>
      <c r="E57" s="48" t="s">
        <v>120</v>
      </c>
      <c r="F57" s="48" t="s">
        <v>121</v>
      </c>
      <c r="G57" s="60"/>
      <c r="K57" s="13"/>
      <c r="L57" s="6"/>
      <c r="M57" s="13"/>
      <c r="N57" s="13"/>
      <c r="O57" s="13"/>
    </row>
    <row r="58" spans="1:15" ht="15.6" x14ac:dyDescent="0.3">
      <c r="A58" s="61" t="s">
        <v>118</v>
      </c>
      <c r="B58" s="266">
        <f>B69</f>
        <v>0</v>
      </c>
      <c r="C58" s="267">
        <f>B77</f>
        <v>8.4416666666666654E-2</v>
      </c>
      <c r="D58" s="266">
        <f>D45-D44+(C10-0.2*Lookup!$B$17)^2/(C10+0.8*Lookup!$B$17)*$F$28/12-IF(C10-0.2*Lookup!$B$15&lt;0,0,(C10-0.2*Lookup!$B$15)^2/(C10+0.8*Lookup!$B$15))*$B$28/12-IF(C10-0.2*Lookup!$C$15&lt;0,0,(C10-0.2*Lookup!$C$15)^2/(C10+0.8*Lookup!$C$15))*$C$28/12-IF(C10-0.2*Lookup!$D$15&lt;0,0,(C10-0.2*Lookup!$D$15)^2/(C10+0.8*Lookup!$D$15))*$D$28/12-IF(C10-0.2*Lookup!$E$15&lt;0,0,(C10-0.2*Lookup!$E$15)^2/(C10+0.8*Lookup!$E$15)*$E$28)/12</f>
        <v>0.10299039279569402</v>
      </c>
      <c r="E58" s="266">
        <f>E45-E44+(D10-0.2*Lookup!$B$17)^2/(D10+0.8*Lookup!$B$17)*$F$28/12-IF(D10-0.2*Lookup!$B$15&lt;0,0,(D10-0.2*Lookup!$B$15)^2/(D10+0.8*Lookup!$B$15))*$B$28/12-IF(D10-0.2*Lookup!$C$15&lt;0,0,(D10-0.2*Lookup!$C$15)^2/(D10+0.8*Lookup!$C$15))*$C$28/12-IF(D10-0.2*Lookup!$D$15&lt;0,0,(D10-0.2*Lookup!$D$15)^2/(D10+0.8*Lookup!$D$15))*$D$28/12-IF(D10-0.2*Lookup!$E$15&lt;0,0,(D10-0.2*Lookup!$E$15)^2/(D10+0.8*Lookup!$E$15)*$E$28)/12</f>
        <v>0.13749134622142034</v>
      </c>
      <c r="F58" s="266">
        <f>F45-F44+(E10-0.2*Lookup!$B$17)^2/(E10+0.8*Lookup!$B$17)*$F$28/12-IF(E10-0.2*Lookup!$B$15&lt;0,0,(E10-0.2*Lookup!$B$15)^2/(E10+0.8*Lookup!$B$15))*$B$28/12-IF(E10-0.2*Lookup!$C$15&lt;0,0,(E10-0.2*Lookup!$C$15)^2/(E10+0.8*Lookup!$C$15))*$C$28/12-IF(E10-0.2*Lookup!$D$15&lt;0,0,(E10-0.2*Lookup!$D$15)^2/(E10+0.8*Lookup!$D$15))*$D$28/12-IF(E10-0.2*Lookup!$E$15&lt;0,0,(E10-0.2*Lookup!$E$15)^2/(E10+0.8*Lookup!$E$15)*$E$28)/12</f>
        <v>0.15857926032966907</v>
      </c>
      <c r="G58" s="60"/>
      <c r="K58" s="13"/>
      <c r="L58" s="13"/>
      <c r="M58" s="13"/>
      <c r="N58" s="13"/>
      <c r="O58" s="13"/>
    </row>
    <row r="59" spans="1:15" ht="15.6" x14ac:dyDescent="0.3">
      <c r="A59" s="61" t="s">
        <v>72</v>
      </c>
      <c r="B59" s="268">
        <f ca="1">SUM($B$50:$B$54,$E$50:$E$54)-(SUMIF(A50:A54,"Green Roofs",B50:B54)+SUMIF(C50:D54,"Green Roofs",E50:E54))</f>
        <v>0</v>
      </c>
      <c r="C59" s="268">
        <f ca="1">SUM($B$50:$B$54,$E$50:$E$54)-(SUMIF(A50:A54,"Green Roofs",B50:B54)+SUMIF(C50:D54,"Green Roofs",E50:E54))</f>
        <v>0</v>
      </c>
      <c r="D59" s="268">
        <f>SUM($B$50:$B$54,$E$50:$E$54)</f>
        <v>0</v>
      </c>
      <c r="E59" s="268">
        <f t="shared" ref="E59:F59" si="1">SUM($B$50:$B$54,$E$50:$E$54)</f>
        <v>0</v>
      </c>
      <c r="F59" s="268">
        <f t="shared" si="1"/>
        <v>0</v>
      </c>
      <c r="G59" s="60"/>
      <c r="H59" s="181"/>
      <c r="K59" s="24"/>
      <c r="L59" s="13"/>
      <c r="M59" s="13"/>
      <c r="N59" s="13"/>
      <c r="O59" s="13"/>
    </row>
    <row r="60" spans="1:15" ht="15.6" x14ac:dyDescent="0.3">
      <c r="A60" s="81" t="s">
        <v>119</v>
      </c>
      <c r="B60" s="268">
        <f ca="1">IF((B58-B59)&gt;0,B58-B59,0)</f>
        <v>0</v>
      </c>
      <c r="C60" s="268">
        <f ca="1">IF((C58-C59)&gt;0,C58-C59,0)</f>
        <v>8.4416666666666654E-2</v>
      </c>
      <c r="D60" s="268">
        <f>IF((D58-D59)&gt;0,D58-D59,0)</f>
        <v>0.10299039279569402</v>
      </c>
      <c r="E60" s="268">
        <f>IF((E58-E59)&gt;0,E58-E59,0)</f>
        <v>0.13749134622142034</v>
      </c>
      <c r="F60" s="268">
        <f>IF((F58-F59)&gt;0,F58-F59,0)</f>
        <v>0.15857926032966907</v>
      </c>
      <c r="G60" s="60"/>
      <c r="K60" s="13"/>
      <c r="L60" s="13"/>
      <c r="M60" s="13"/>
      <c r="N60" s="13"/>
      <c r="O60" s="13"/>
    </row>
    <row r="61" spans="1:15" x14ac:dyDescent="0.3">
      <c r="A61" s="59" t="s">
        <v>44</v>
      </c>
      <c r="B61" s="27" t="str">
        <f>IF(B58=0,"n/a",IF(ROUND(B60,4)=0,"Yes","No"))</f>
        <v>n/a</v>
      </c>
      <c r="C61" s="27" t="str">
        <f ca="1">IF(ROUND(C60,4)=0,"Yes", "No")</f>
        <v>No</v>
      </c>
      <c r="D61" s="27" t="str">
        <f>IF(ROUND(D60,4)=0,"Yes", "No")</f>
        <v>No</v>
      </c>
      <c r="E61" s="27" t="str">
        <f>IF(ROUND(E60,4)=0,"Yes", "No")</f>
        <v>No</v>
      </c>
      <c r="F61" s="27" t="str">
        <f>IF(ROUND(F60,4)=0,"Yes", "No")</f>
        <v>No</v>
      </c>
      <c r="G61" s="60"/>
      <c r="H61" s="43"/>
      <c r="K61" s="13"/>
      <c r="L61" s="13"/>
      <c r="M61" s="13"/>
      <c r="N61" s="13"/>
      <c r="O61" s="13"/>
    </row>
    <row r="62" spans="1:15" x14ac:dyDescent="0.3">
      <c r="A62" s="59"/>
      <c r="B62" s="25"/>
      <c r="C62" s="25"/>
      <c r="D62" s="25"/>
      <c r="E62" s="25"/>
      <c r="F62" s="25"/>
      <c r="G62" s="60"/>
      <c r="K62" s="13"/>
      <c r="L62" s="13"/>
      <c r="M62" s="13"/>
      <c r="N62" s="13"/>
      <c r="O62" s="13"/>
    </row>
    <row r="63" spans="1:15" ht="15.6" x14ac:dyDescent="0.3">
      <c r="A63" s="110" t="s">
        <v>43</v>
      </c>
      <c r="B63" s="29" t="s">
        <v>34</v>
      </c>
      <c r="C63" s="28">
        <f>IF(F32=0,"n/a",200/((2+B10+C58*(24/F32))-(5*B10*C58*(12/F32)+4*(C58*(12/F32))^2)^(1/2)))</f>
        <v>91.061238854713821</v>
      </c>
      <c r="D63" s="28">
        <f>IF(F32=0,"n/a",200/((2+C10+D45*(24/F32))-(5*C10*D45*(12/F32)+4*(D45*(12/F32))^2)^(1/2)))</f>
        <v>87.72413605501184</v>
      </c>
      <c r="E63" s="28">
        <f>IF(F32=0,"n/a",200/((2+D10+E45*(24/F32))-(5*D10*E45*(12/F32)+4*(E45*(12/F32))^2)^(1/2)))</f>
        <v>86.552652704630233</v>
      </c>
      <c r="F63" s="28">
        <f>IF(F32=0,"n/a",200/((2+E10+F45*(24/F32))-(5*E10*F45*(12/F32)+4*(F45*(12/F32))^2)^(1/2)))</f>
        <v>85.97150241081583</v>
      </c>
      <c r="G63" s="60"/>
      <c r="K63" s="24"/>
      <c r="L63" s="13"/>
      <c r="M63" s="13"/>
      <c r="N63" s="13"/>
      <c r="O63" s="13"/>
    </row>
    <row r="64" spans="1:15" ht="16.2" x14ac:dyDescent="0.35">
      <c r="A64" s="111" t="s">
        <v>42</v>
      </c>
      <c r="B64" s="30" t="s">
        <v>34</v>
      </c>
      <c r="C64" s="26">
        <f ca="1">IF(F32=0,"n/a",IF(B59&gt;C58,"n/a",200/(2+B10+((C58-$B$59)*24/F32)-SQRT(5*B10*(C58-$B$59)*12/F32+4*((C58-$B$59)*12/F32)^2))))</f>
        <v>91.061238854713807</v>
      </c>
      <c r="D64" s="26">
        <f ca="1">IF(F32=0,"n/a",IF(D59&gt;D45,0,200/(2+C10+((D45-$B$59)*24/F32)-SQRT(5*C10*(D45-$B$59)*12/F32+4*((D45-$B$59)*12/F32)^2))))</f>
        <v>87.72413605501184</v>
      </c>
      <c r="E64" s="26">
        <f ca="1">IF(F32=0,"n/a",IF(E59&gt;E45,0,200/(2+D10+((E45-$B$59)*24/F32)-SQRT(5*D10*(E45-$B$59)*12/F32+4*((E45-$B$59)*12/F32)^2))))</f>
        <v>86.552652704630177</v>
      </c>
      <c r="F64" s="26">
        <f ca="1">IF(F32=0,"n/a",IF(F59&gt;F45,0,200/(2+E10+((F45-$B$59)*24/F32)-SQRT(5*E10*(F45-$B$59)*12/F32+4*((F45-$B$59)*12/F32)^2))))</f>
        <v>85.97150241081583</v>
      </c>
      <c r="G64" s="60"/>
      <c r="K64" s="24"/>
      <c r="L64" s="6"/>
      <c r="M64" s="13"/>
      <c r="N64" s="13"/>
      <c r="O64" s="13"/>
    </row>
    <row r="65" spans="1:15" ht="15.6" x14ac:dyDescent="0.3">
      <c r="A65" s="112" t="s">
        <v>36</v>
      </c>
      <c r="B65" s="82" t="s">
        <v>34</v>
      </c>
      <c r="C65" s="83" t="s">
        <v>34</v>
      </c>
      <c r="D65" s="84">
        <f>IF(F20-F19=0,"n/a",200/(C10+2*D44*12/(F20-F19)+2-SQRT(5*C10*D44*12/(F20-F19)+4*(D44*12/(F20-F19))^2)))</f>
        <v>79.585327582199227</v>
      </c>
      <c r="E65" s="84">
        <f>IF((F20-F19)=0,"n/a",200/(D10+2*E44*12/(F20-F19)+2-SQRT(5*D10*E44*12/(F20-F19)+4*(E44*12/(F20-F19))^2)))</f>
        <v>79.544255635759342</v>
      </c>
      <c r="F65" s="84">
        <f>IF((F20-F19)=0,"n/a",200/(E10+2*F44*12/(F20-F19)+2-SQRT(5*E10*F44*12/(F20-F19)+4*(F44*12/(F20-F19))^2)))</f>
        <v>79.520409432599891</v>
      </c>
      <c r="G65" s="60"/>
      <c r="K65" s="24"/>
      <c r="L65" s="6"/>
      <c r="M65" s="13"/>
      <c r="N65" s="13"/>
      <c r="O65" s="13"/>
    </row>
    <row r="66" spans="1:15" ht="16.2" thickBot="1" x14ac:dyDescent="0.35">
      <c r="A66" s="16"/>
      <c r="B66" s="17"/>
      <c r="C66" s="17"/>
      <c r="D66" s="17"/>
      <c r="E66" s="17"/>
      <c r="F66" s="17"/>
      <c r="G66" s="70"/>
      <c r="K66" s="24"/>
      <c r="L66" s="13"/>
      <c r="M66" s="13"/>
      <c r="N66" s="13"/>
      <c r="O66" s="13"/>
    </row>
    <row r="67" spans="1:15" ht="15.6" x14ac:dyDescent="0.3">
      <c r="A67" s="56" t="s">
        <v>76</v>
      </c>
      <c r="B67" s="57"/>
      <c r="C67" s="57"/>
      <c r="D67" s="57"/>
      <c r="E67" s="57"/>
      <c r="F67" s="178">
        <v>2</v>
      </c>
      <c r="G67" s="58"/>
      <c r="K67" s="24"/>
      <c r="L67" s="6"/>
      <c r="M67" s="13"/>
      <c r="N67" s="13"/>
      <c r="O67" s="13"/>
    </row>
    <row r="68" spans="1:15" ht="30.6" customHeight="1" x14ac:dyDescent="0.3">
      <c r="A68" s="59" t="s">
        <v>77</v>
      </c>
      <c r="B68" s="174"/>
      <c r="C68" s="386" t="str">
        <f>IF(F67=1,"","Reason recharge not required (if No is selected):")</f>
        <v>Reason recharge not required (if No is selected):</v>
      </c>
      <c r="D68" s="386"/>
      <c r="E68" s="387" t="s">
        <v>162</v>
      </c>
      <c r="F68" s="387"/>
      <c r="G68" s="60"/>
      <c r="K68" s="24"/>
      <c r="L68" s="6"/>
      <c r="M68" s="13"/>
      <c r="N68" s="13"/>
      <c r="O68" s="13"/>
    </row>
    <row r="69" spans="1:15" ht="15.6" x14ac:dyDescent="0.3">
      <c r="A69" s="59" t="s">
        <v>117</v>
      </c>
      <c r="B69" s="265">
        <f>((B27+B28)*Lookup!B21+(C27+C28)*Lookup!C21+(D27+D28)*Lookup!D21+(E27+E28)*Lookup!E21*(F27+F28))/12</f>
        <v>0</v>
      </c>
      <c r="C69" s="120"/>
      <c r="D69" s="120"/>
      <c r="E69" s="122"/>
      <c r="F69" s="122"/>
      <c r="G69" s="60"/>
      <c r="K69" s="24"/>
      <c r="L69" s="6"/>
      <c r="M69" s="13"/>
      <c r="N69" s="13"/>
      <c r="O69" s="13"/>
    </row>
    <row r="70" spans="1:15" ht="42.6" customHeight="1" x14ac:dyDescent="0.3">
      <c r="A70" s="69" t="s">
        <v>110</v>
      </c>
      <c r="B70" s="27" t="str">
        <f>B61</f>
        <v>n/a</v>
      </c>
      <c r="C70" s="388" t="str">
        <f>IF(B70="No",IF(F67=1,"NOTE: Treatment provided is insufficient to meet the recharge standard within this drainage area.  Add more infiltrating practices unless recharge is being met site-wide. (check summary tab)","Standard not applicable."),"")</f>
        <v/>
      </c>
      <c r="D70" s="389"/>
      <c r="E70" s="389"/>
      <c r="F70" s="389"/>
      <c r="G70" s="390"/>
      <c r="K70" s="24"/>
      <c r="L70" s="13"/>
      <c r="M70" s="13"/>
      <c r="N70" s="13"/>
      <c r="O70" s="13"/>
    </row>
    <row r="71" spans="1:15" ht="101.4" customHeight="1" thickBot="1" x14ac:dyDescent="0.35">
      <c r="A71" s="222" t="s">
        <v>167</v>
      </c>
      <c r="B71" s="412" t="s">
        <v>265</v>
      </c>
      <c r="C71" s="412"/>
      <c r="D71" s="412"/>
      <c r="E71" s="412"/>
      <c r="F71" s="412"/>
      <c r="G71" s="413"/>
      <c r="K71" s="24"/>
      <c r="L71" s="6"/>
      <c r="M71" s="13"/>
      <c r="N71" s="13"/>
      <c r="O71" s="13"/>
    </row>
    <row r="72" spans="1:15" s="181" customFormat="1" ht="75" customHeight="1" thickBot="1" x14ac:dyDescent="0.35">
      <c r="A72" s="269"/>
      <c r="B72" s="270"/>
      <c r="C72" s="270"/>
      <c r="D72" s="270"/>
      <c r="E72" s="270"/>
      <c r="F72" s="270"/>
      <c r="G72" s="270"/>
      <c r="K72" s="24"/>
      <c r="L72" s="6"/>
      <c r="M72" s="13"/>
      <c r="N72" s="13"/>
      <c r="O72" s="13"/>
    </row>
    <row r="73" spans="1:15" ht="15.6" x14ac:dyDescent="0.3">
      <c r="A73" s="56" t="s">
        <v>95</v>
      </c>
      <c r="B73" s="57"/>
      <c r="C73" s="57"/>
      <c r="D73" s="57"/>
      <c r="E73" s="178">
        <v>1</v>
      </c>
      <c r="F73" s="178">
        <v>1</v>
      </c>
      <c r="G73" s="58"/>
      <c r="K73" s="24"/>
      <c r="L73" s="6"/>
      <c r="M73" s="13"/>
      <c r="N73" s="13"/>
      <c r="O73" s="13"/>
    </row>
    <row r="74" spans="1:15" s="181" customFormat="1" ht="15" customHeight="1" x14ac:dyDescent="0.3">
      <c r="A74" s="91"/>
      <c r="B74" s="7" t="s">
        <v>233</v>
      </c>
      <c r="C74" s="13"/>
      <c r="D74" s="13"/>
      <c r="E74" s="13"/>
      <c r="F74" s="7" t="s">
        <v>236</v>
      </c>
      <c r="G74" s="60"/>
      <c r="K74" s="24"/>
      <c r="L74" s="6"/>
      <c r="M74" s="13"/>
      <c r="N74" s="13"/>
      <c r="O74" s="13"/>
    </row>
    <row r="75" spans="1:15" ht="16.2" x14ac:dyDescent="0.35">
      <c r="A75" s="67" t="s">
        <v>221</v>
      </c>
      <c r="B75" s="265">
        <f>IF(F27+F28=0,0,(0.05+0.9*(G27+G28))*1*F32/12)</f>
        <v>8.4416666666666654E-2</v>
      </c>
      <c r="C75" s="373" t="s">
        <v>235</v>
      </c>
      <c r="D75" s="374"/>
      <c r="E75" s="75">
        <f>G35</f>
        <v>0</v>
      </c>
      <c r="G75" s="60"/>
      <c r="K75" s="24"/>
      <c r="L75" s="6"/>
      <c r="M75" s="13"/>
      <c r="N75" s="13"/>
      <c r="O75" s="13"/>
    </row>
    <row r="76" spans="1:15" ht="30" customHeight="1" x14ac:dyDescent="0.3">
      <c r="A76" s="61" t="s">
        <v>222</v>
      </c>
      <c r="B76" s="265">
        <f>IF(F30=0,0,IF(F73=2,IF(E76&gt;25%,0,(0.05+0.9*G30)*1*F32/12*(50%-2*E76)),(0.05+0.9*G30)*1*F32/12*0.5))</f>
        <v>0</v>
      </c>
      <c r="C76" s="375" t="s">
        <v>234</v>
      </c>
      <c r="D76" s="376"/>
      <c r="E76" s="225">
        <f>G36</f>
        <v>0</v>
      </c>
      <c r="G76" s="226" t="str">
        <f>IF(E76="n/a","",IF(E76&gt;25%,"Max 25% applied",""))</f>
        <v/>
      </c>
      <c r="K76" s="24"/>
      <c r="L76" s="13"/>
      <c r="M76" s="13"/>
      <c r="N76" s="13"/>
      <c r="O76" s="13"/>
    </row>
    <row r="77" spans="1:15" ht="15" customHeight="1" x14ac:dyDescent="0.3">
      <c r="A77" s="59" t="s">
        <v>111</v>
      </c>
      <c r="B77" s="265">
        <f>IF(E73=2,IF(E75&lt;5%,B75+B76,(B75+B76)*(100%-E75)),B75+B76)</f>
        <v>8.4416666666666654E-2</v>
      </c>
      <c r="C77" s="377" t="str">
        <f>IF(E73+F73=4,"ERROR! Net Reduction and Redevelopment cannot both apply","")</f>
        <v/>
      </c>
      <c r="D77" s="378"/>
      <c r="E77" s="378"/>
      <c r="F77" s="378"/>
      <c r="G77" s="379"/>
      <c r="K77" s="24"/>
      <c r="L77" s="13"/>
      <c r="M77" s="13"/>
      <c r="N77" s="13"/>
      <c r="O77" s="13"/>
    </row>
    <row r="78" spans="1:15" ht="30" x14ac:dyDescent="0.3">
      <c r="A78" s="221" t="s">
        <v>204</v>
      </c>
      <c r="B78" s="306">
        <f ca="1">IF(C59&gt;C58,C58,C59)</f>
        <v>0</v>
      </c>
      <c r="C78" s="63"/>
      <c r="D78" s="371" t="s">
        <v>209</v>
      </c>
      <c r="E78" s="371"/>
      <c r="F78" s="185"/>
      <c r="G78" s="186">
        <v>1</v>
      </c>
      <c r="K78" s="24"/>
      <c r="L78" s="13"/>
      <c r="M78" s="13"/>
      <c r="N78" s="13"/>
      <c r="O78" s="13"/>
    </row>
    <row r="79" spans="1:15" ht="30.6" customHeight="1" x14ac:dyDescent="0.3">
      <c r="A79" s="224" t="s">
        <v>149</v>
      </c>
      <c r="B79" s="306">
        <f ca="1">IF(G78=2,"N/A",IF(B77-B78&lt;0,0,B77-B78))</f>
        <v>8.4416666666666654E-2</v>
      </c>
      <c r="C79" s="63"/>
      <c r="D79" s="223"/>
      <c r="E79" s="223"/>
      <c r="F79" s="13"/>
      <c r="G79" s="64"/>
      <c r="K79" s="24"/>
      <c r="L79" s="13"/>
      <c r="M79" s="13"/>
      <c r="N79" s="13"/>
      <c r="O79" s="13"/>
    </row>
    <row r="80" spans="1:15" s="104" customFormat="1" ht="10.8" customHeight="1" x14ac:dyDescent="0.3">
      <c r="A80" s="221"/>
      <c r="B80" s="13"/>
      <c r="C80" s="63"/>
      <c r="D80" s="13"/>
      <c r="E80" s="13"/>
      <c r="F80" s="13"/>
      <c r="G80" s="60"/>
      <c r="K80" s="13"/>
      <c r="L80" s="6"/>
      <c r="M80" s="13"/>
      <c r="N80" s="13"/>
      <c r="O80" s="13"/>
    </row>
    <row r="81" spans="1:15" s="104" customFormat="1" ht="28.8" customHeight="1" x14ac:dyDescent="0.3">
      <c r="A81" s="401" t="str">
        <f>IF(B82="","","NOTE: Please include a copy of the appropriate STP worksheet(s) with the application.")</f>
        <v>NOTE: Please include a copy of the appropriate STP worksheet(s) with the application.</v>
      </c>
      <c r="B81" s="391" t="s">
        <v>160</v>
      </c>
      <c r="C81" s="392"/>
      <c r="D81" s="393"/>
      <c r="E81" s="219" t="s">
        <v>147</v>
      </c>
      <c r="F81" s="220" t="s">
        <v>138</v>
      </c>
      <c r="G81" s="60"/>
      <c r="K81" s="13"/>
      <c r="L81" s="6"/>
      <c r="M81" s="13"/>
      <c r="N81" s="13"/>
      <c r="O81" s="13"/>
    </row>
    <row r="82" spans="1:15" x14ac:dyDescent="0.3">
      <c r="A82" s="401"/>
      <c r="B82" s="372" t="s">
        <v>85</v>
      </c>
      <c r="C82" s="372"/>
      <c r="D82" s="372"/>
      <c r="E82" s="305">
        <v>0.16800000000000001</v>
      </c>
      <c r="F82" s="108" t="str">
        <f>IF(B82="","",VLOOKUP(B82,Lookup!$H$13:$I$19,2,FALSE))</f>
        <v>Tier 3</v>
      </c>
      <c r="G82" s="60"/>
    </row>
    <row r="83" spans="1:15" s="104" customFormat="1" x14ac:dyDescent="0.3">
      <c r="A83" s="401"/>
      <c r="B83" s="372"/>
      <c r="C83" s="372"/>
      <c r="D83" s="372"/>
      <c r="E83" s="305"/>
      <c r="F83" s="108" t="str">
        <f>IF(B83="","",VLOOKUP(B83,Lookup!$H$13:$I$19,2,FALSE))</f>
        <v/>
      </c>
      <c r="G83" s="60"/>
    </row>
    <row r="84" spans="1:15" s="114" customFormat="1" x14ac:dyDescent="0.3">
      <c r="A84" s="401"/>
      <c r="B84" s="372"/>
      <c r="C84" s="372"/>
      <c r="D84" s="372"/>
      <c r="E84" s="305"/>
      <c r="F84" s="108" t="str">
        <f>IF(B84="","",VLOOKUP(B84,Lookup!$H$13:$I$19,2,FALSE))</f>
        <v/>
      </c>
      <c r="G84" s="60"/>
    </row>
    <row r="85" spans="1:15" s="114" customFormat="1" ht="15.6" x14ac:dyDescent="0.35">
      <c r="A85" s="118"/>
      <c r="B85" s="19"/>
      <c r="C85" s="19"/>
      <c r="D85" s="1" t="s">
        <v>153</v>
      </c>
      <c r="E85" s="307">
        <f>SUM(E82:E84)</f>
        <v>0.16800000000000001</v>
      </c>
      <c r="F85" s="13" t="s">
        <v>90</v>
      </c>
      <c r="G85" s="60"/>
    </row>
    <row r="86" spans="1:15" s="114" customFormat="1" ht="15.6" x14ac:dyDescent="0.35">
      <c r="A86" s="68"/>
      <c r="B86" s="19"/>
      <c r="C86" s="19"/>
      <c r="D86" s="1" t="s">
        <v>203</v>
      </c>
      <c r="E86" s="134" t="str">
        <f ca="1">IF(G78=2,"Yes",IF(ROUND(E85,4)&gt;=ROUND(B79,4),"Yes","No"))</f>
        <v>Yes</v>
      </c>
      <c r="F86" s="13"/>
      <c r="G86" s="60"/>
    </row>
    <row r="87" spans="1:15" ht="14.4" customHeight="1" x14ac:dyDescent="0.3">
      <c r="A87" s="368" t="str">
        <f ca="1">IF(E86="No","NOTE:  Add more water quality practices unless site balancing is being used. (Check summary tab)","")</f>
        <v/>
      </c>
      <c r="B87" s="369"/>
      <c r="C87" s="369"/>
      <c r="D87" s="369"/>
      <c r="E87" s="369"/>
      <c r="F87" s="369"/>
      <c r="G87" s="370"/>
    </row>
    <row r="88" spans="1:15" ht="51.6" customHeight="1" thickBot="1" x14ac:dyDescent="0.35">
      <c r="A88" s="239" t="s">
        <v>168</v>
      </c>
      <c r="B88" s="414"/>
      <c r="C88" s="414"/>
      <c r="D88" s="414"/>
      <c r="E88" s="414"/>
      <c r="F88" s="414"/>
      <c r="G88" s="414"/>
    </row>
    <row r="89" spans="1:15" ht="15.6" x14ac:dyDescent="0.3">
      <c r="A89" s="56" t="s">
        <v>96</v>
      </c>
      <c r="B89" s="57"/>
      <c r="C89" s="57"/>
      <c r="D89" s="57"/>
      <c r="E89" s="178">
        <v>1</v>
      </c>
      <c r="F89" s="178">
        <v>1</v>
      </c>
      <c r="G89" s="58"/>
    </row>
    <row r="90" spans="1:15" ht="29.4" customHeight="1" x14ac:dyDescent="0.3">
      <c r="A90" s="59" t="s">
        <v>77</v>
      </c>
      <c r="B90" s="125"/>
      <c r="C90" s="364" t="str">
        <f>IF(F89=2,"Waiver (if No is selected):","")</f>
        <v/>
      </c>
      <c r="D90" s="364"/>
      <c r="E90" s="380"/>
      <c r="F90" s="380"/>
      <c r="G90" s="60"/>
      <c r="M90" s="41"/>
    </row>
    <row r="91" spans="1:15" s="49" customFormat="1" ht="37.200000000000003" customHeight="1" x14ac:dyDescent="0.3">
      <c r="A91" s="59" t="s">
        <v>80</v>
      </c>
      <c r="B91" s="27" t="str">
        <f>D61</f>
        <v>No</v>
      </c>
      <c r="C91" s="348"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not been fully met. Either increase Tv credit to fully meet HCM or provide extended detention.</v>
      </c>
      <c r="D91" s="349"/>
      <c r="E91" s="349"/>
      <c r="F91" s="349"/>
      <c r="G91" s="350"/>
    </row>
    <row r="92" spans="1:15" s="49" customFormat="1" ht="31.2" customHeight="1" x14ac:dyDescent="0.3">
      <c r="A92" s="61" t="s">
        <v>81</v>
      </c>
      <c r="B92" s="265">
        <f>IF(D60&gt;0,D45-D59,"n/a")</f>
        <v>0.25915753240686279</v>
      </c>
      <c r="C92" s="54" t="s">
        <v>90</v>
      </c>
      <c r="D92" s="31"/>
      <c r="E92" s="13"/>
      <c r="F92" s="63"/>
      <c r="G92" s="64"/>
    </row>
    <row r="93" spans="1:15" ht="34.799999999999997" customHeight="1" x14ac:dyDescent="0.3">
      <c r="A93" s="61" t="s">
        <v>92</v>
      </c>
      <c r="B93" s="125"/>
      <c r="C93" s="65" t="s">
        <v>94</v>
      </c>
      <c r="D93" s="103" t="s">
        <v>93</v>
      </c>
      <c r="E93" s="363" t="str">
        <f>IF(E89=1,"12 hours of extended detention","24 hours of extended detention")</f>
        <v>12 hours of extended detention</v>
      </c>
      <c r="F93" s="363"/>
      <c r="G93" s="60"/>
    </row>
    <row r="94" spans="1:15" ht="15" customHeight="1" x14ac:dyDescent="0.3">
      <c r="A94" s="381" t="str">
        <f>HYPERLINK("http://dec.vermont.gov/sites/dec/files/documents/wsmd_water_quality_standards_2016.pdf", "See the Vermont Water Quality Standards for warm and cold water designations")</f>
        <v>See the Vermont Water Quality Standards for warm and cold water designations</v>
      </c>
      <c r="B94" s="382"/>
      <c r="C94" s="382"/>
      <c r="D94" s="13"/>
      <c r="E94" s="358" t="s">
        <v>150</v>
      </c>
      <c r="F94" s="358"/>
      <c r="G94" s="179" t="b">
        <v>0</v>
      </c>
    </row>
    <row r="95" spans="1:15" s="107" customFormat="1" ht="14.4" customHeight="1" x14ac:dyDescent="0.3">
      <c r="A95" s="381"/>
      <c r="B95" s="382"/>
      <c r="C95" s="382"/>
      <c r="D95" s="13"/>
      <c r="E95" s="359" t="s">
        <v>182</v>
      </c>
      <c r="F95" s="359"/>
      <c r="G95" s="360"/>
    </row>
    <row r="96" spans="1:15" s="107" customFormat="1" x14ac:dyDescent="0.3">
      <c r="A96" s="115"/>
      <c r="B96" s="116"/>
      <c r="C96" s="13"/>
      <c r="D96" s="13"/>
      <c r="E96" s="359"/>
      <c r="F96" s="359"/>
      <c r="G96" s="360"/>
    </row>
    <row r="97" spans="1:7" x14ac:dyDescent="0.3">
      <c r="A97" s="66" t="s">
        <v>151</v>
      </c>
      <c r="B97" s="418" t="s">
        <v>85</v>
      </c>
      <c r="C97" s="419"/>
      <c r="D97" s="13"/>
      <c r="E97" s="183"/>
      <c r="F97" s="361" t="str">
        <f>IF(G94=TRUE,"detention time (hrs)","")</f>
        <v/>
      </c>
      <c r="G97" s="362"/>
    </row>
    <row r="98" spans="1:7" ht="11.4" customHeight="1" x14ac:dyDescent="0.3">
      <c r="A98" s="66"/>
      <c r="B98" s="55"/>
      <c r="C98" s="55"/>
      <c r="D98" s="13"/>
      <c r="E98" s="13"/>
      <c r="F98" s="13"/>
      <c r="G98" s="60"/>
    </row>
    <row r="99" spans="1:7" ht="45.6" customHeight="1" x14ac:dyDescent="0.3">
      <c r="A99" s="343" t="s">
        <v>210</v>
      </c>
      <c r="B99" s="344"/>
      <c r="C99" s="344"/>
      <c r="D99" s="344"/>
      <c r="E99" s="344"/>
      <c r="F99" s="344"/>
      <c r="G99" s="345"/>
    </row>
    <row r="100" spans="1:7" s="49" customFormat="1" ht="31.2" customHeight="1" x14ac:dyDescent="0.3">
      <c r="A100" s="59" t="s">
        <v>91</v>
      </c>
      <c r="B100" s="128">
        <f ca="1">D64</f>
        <v>87.72413605501184</v>
      </c>
      <c r="C100" s="383" t="s">
        <v>223</v>
      </c>
      <c r="D100" s="384"/>
      <c r="E100" s="129">
        <f ca="1">IF(E41=0,0,(F41^0.8)*(((1000/IF(B100&gt;95,95,IF(B100&lt;50,50,B100)))-9)^0.7)/(1140*E41^0.5)*60)</f>
        <v>8.3588330247052625</v>
      </c>
      <c r="F100" s="73" t="s">
        <v>102</v>
      </c>
      <c r="G100" s="64"/>
    </row>
    <row r="101" spans="1:7" ht="49.2" customHeight="1" thickBot="1" x14ac:dyDescent="0.35">
      <c r="A101" s="222" t="s">
        <v>169</v>
      </c>
      <c r="B101" s="365" t="s">
        <v>259</v>
      </c>
      <c r="C101" s="366"/>
      <c r="D101" s="366"/>
      <c r="E101" s="366"/>
      <c r="F101" s="366"/>
      <c r="G101" s="367"/>
    </row>
    <row r="102" spans="1:7" ht="18" x14ac:dyDescent="0.4">
      <c r="A102" s="56" t="s">
        <v>97</v>
      </c>
      <c r="B102" s="57"/>
      <c r="C102" s="57"/>
      <c r="D102" s="57"/>
      <c r="E102" s="57"/>
      <c r="F102" s="178">
        <v>1</v>
      </c>
      <c r="G102" s="58"/>
    </row>
    <row r="103" spans="1:7" ht="29.4" customHeight="1" x14ac:dyDescent="0.3">
      <c r="A103" s="59" t="s">
        <v>77</v>
      </c>
      <c r="B103" s="127"/>
      <c r="C103" s="364" t="str">
        <f>IF(F102=1,"","Waiver (if No is selected):")</f>
        <v/>
      </c>
      <c r="D103" s="364"/>
      <c r="E103" s="380"/>
      <c r="F103" s="380"/>
      <c r="G103" s="60"/>
    </row>
    <row r="104" spans="1:7" ht="43.2" customHeight="1" x14ac:dyDescent="0.3">
      <c r="A104" s="59" t="s">
        <v>80</v>
      </c>
      <c r="B104" s="27" t="str">
        <f>E61</f>
        <v>No</v>
      </c>
      <c r="C104" s="348"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not been fully met. Provide additional STPs to ensure post development peak runoff does not exceed pre development peak runoff for the 10 yr, 24 hour storm event.</v>
      </c>
      <c r="D104" s="349"/>
      <c r="E104" s="349"/>
      <c r="F104" s="349"/>
      <c r="G104" s="350"/>
    </row>
    <row r="105" spans="1:7" x14ac:dyDescent="0.3">
      <c r="A105" s="68" t="s">
        <v>104</v>
      </c>
      <c r="B105" s="357" t="s">
        <v>85</v>
      </c>
      <c r="C105" s="357"/>
      <c r="D105" s="357"/>
      <c r="E105" s="357"/>
      <c r="F105" s="357"/>
      <c r="G105" s="60"/>
    </row>
    <row r="106" spans="1:7" x14ac:dyDescent="0.3">
      <c r="A106" s="14"/>
      <c r="B106" s="13"/>
      <c r="C106" s="20" t="s">
        <v>105</v>
      </c>
      <c r="D106" s="176">
        <v>8.17</v>
      </c>
      <c r="E106" s="13"/>
      <c r="F106" s="13"/>
      <c r="G106" s="60"/>
    </row>
    <row r="107" spans="1:7" x14ac:dyDescent="0.3">
      <c r="A107" s="14"/>
      <c r="B107" s="13"/>
      <c r="C107" s="20" t="s">
        <v>107</v>
      </c>
      <c r="D107" s="176">
        <v>11.72</v>
      </c>
      <c r="E107" s="13"/>
      <c r="F107" s="13"/>
      <c r="G107" s="60"/>
    </row>
    <row r="108" spans="1:7" x14ac:dyDescent="0.3">
      <c r="A108" s="14"/>
      <c r="B108" s="13"/>
      <c r="C108" s="20" t="s">
        <v>106</v>
      </c>
      <c r="D108" s="176">
        <v>6.43</v>
      </c>
      <c r="E108" s="13"/>
      <c r="F108" s="13"/>
      <c r="G108" s="60"/>
    </row>
    <row r="109" spans="1:7" x14ac:dyDescent="0.3">
      <c r="A109" s="14"/>
      <c r="B109" s="13"/>
      <c r="C109" s="20"/>
      <c r="D109" s="19"/>
      <c r="E109" s="13"/>
      <c r="F109" s="13"/>
      <c r="G109" s="60"/>
    </row>
    <row r="110" spans="1:7" ht="46.8" customHeight="1" x14ac:dyDescent="0.3">
      <c r="A110" s="343" t="s">
        <v>211</v>
      </c>
      <c r="B110" s="344"/>
      <c r="C110" s="344"/>
      <c r="D110" s="344"/>
      <c r="E110" s="344"/>
      <c r="F110" s="344"/>
      <c r="G110" s="345"/>
    </row>
    <row r="111" spans="1:7" s="181" customFormat="1" ht="28.8" customHeight="1" x14ac:dyDescent="0.3">
      <c r="A111" s="194" t="s">
        <v>224</v>
      </c>
      <c r="B111" s="71">
        <f>E65</f>
        <v>79.544255635759342</v>
      </c>
      <c r="C111" s="420" t="s">
        <v>225</v>
      </c>
      <c r="D111" s="421"/>
      <c r="E111" s="72">
        <f>IF(E40=0,0,(F40^0.8)*(((1000/IF(B111&gt;95,95,IF(B111&lt;50,50,B111)))-9)^0.7)/(1140*E40^0.5)*60)</f>
        <v>11.350555144523158</v>
      </c>
      <c r="F111" s="346" t="s">
        <v>102</v>
      </c>
      <c r="G111" s="190"/>
    </row>
    <row r="112" spans="1:7" ht="28.8" customHeight="1" x14ac:dyDescent="0.3">
      <c r="A112" s="59" t="s">
        <v>91</v>
      </c>
      <c r="B112" s="71">
        <f ca="1">E64</f>
        <v>86.552652704630177</v>
      </c>
      <c r="C112" s="383" t="s">
        <v>223</v>
      </c>
      <c r="D112" s="384"/>
      <c r="E112" s="72">
        <f ca="1">IF(E41=0,0,(F41^0.8)*(((1000/IF(B112&gt;95,95,IF(B112&lt;50,50,B112)))-9)^0.7)/(1140*E41^0.5)*60)</f>
        <v>8.7315568534344052</v>
      </c>
      <c r="F112" s="347"/>
      <c r="G112" s="64"/>
    </row>
    <row r="113" spans="1:7" ht="57.6" customHeight="1" thickBot="1" x14ac:dyDescent="0.35">
      <c r="A113" s="124" t="s">
        <v>170</v>
      </c>
      <c r="B113" s="365"/>
      <c r="C113" s="366"/>
      <c r="D113" s="366"/>
      <c r="E113" s="366"/>
      <c r="F113" s="366"/>
      <c r="G113" s="367"/>
    </row>
    <row r="114" spans="1:7" ht="18" x14ac:dyDescent="0.4">
      <c r="A114" s="56" t="s">
        <v>108</v>
      </c>
      <c r="B114" s="57"/>
      <c r="C114" s="57"/>
      <c r="D114" s="57"/>
      <c r="E114" s="57"/>
      <c r="F114" s="178">
        <v>2</v>
      </c>
      <c r="G114" s="58"/>
    </row>
    <row r="115" spans="1:7" ht="28.8" customHeight="1" x14ac:dyDescent="0.3">
      <c r="A115" s="59" t="s">
        <v>77</v>
      </c>
      <c r="B115" s="126"/>
      <c r="C115" s="364" t="str">
        <f>IF(F114=1,"","Waiver (if No is selected):")</f>
        <v>Waiver (if No is selected):</v>
      </c>
      <c r="D115" s="364"/>
      <c r="E115" s="380" t="s">
        <v>51</v>
      </c>
      <c r="F115" s="380"/>
      <c r="G115" s="60"/>
    </row>
    <row r="116" spans="1:7" ht="43.2" customHeight="1" x14ac:dyDescent="0.3">
      <c r="A116" s="59" t="s">
        <v>80</v>
      </c>
      <c r="B116" s="27" t="str">
        <f>F61</f>
        <v>No</v>
      </c>
      <c r="C116" s="348"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standard has not been fully met. Provide additional STPs to ensure post development peak runoff does not exceed pre development peak runoff for the 100 yr, 24 hour storm event.</v>
      </c>
      <c r="D116" s="349"/>
      <c r="E116" s="349"/>
      <c r="F116" s="349"/>
      <c r="G116" s="350"/>
    </row>
    <row r="117" spans="1:7" x14ac:dyDescent="0.3">
      <c r="A117" s="68" t="s">
        <v>104</v>
      </c>
      <c r="B117" s="424"/>
      <c r="C117" s="424"/>
      <c r="D117" s="424"/>
      <c r="E117" s="424"/>
      <c r="F117" s="424"/>
      <c r="G117" s="60"/>
    </row>
    <row r="118" spans="1:7" x14ac:dyDescent="0.3">
      <c r="A118" s="14"/>
      <c r="B118" s="13"/>
      <c r="C118" s="20" t="s">
        <v>105</v>
      </c>
      <c r="D118" s="177"/>
      <c r="E118" s="13"/>
      <c r="F118" s="13"/>
      <c r="G118" s="60"/>
    </row>
    <row r="119" spans="1:7" x14ac:dyDescent="0.3">
      <c r="A119" s="14"/>
      <c r="B119" s="13"/>
      <c r="C119" s="20" t="s">
        <v>107</v>
      </c>
      <c r="D119" s="177"/>
      <c r="E119" s="13"/>
      <c r="F119" s="13"/>
      <c r="G119" s="60"/>
    </row>
    <row r="120" spans="1:7" x14ac:dyDescent="0.3">
      <c r="A120" s="14"/>
      <c r="B120" s="13"/>
      <c r="C120" s="20" t="s">
        <v>106</v>
      </c>
      <c r="D120" s="177"/>
      <c r="E120" s="13"/>
      <c r="F120" s="13"/>
      <c r="G120" s="60"/>
    </row>
    <row r="121" spans="1:7" x14ac:dyDescent="0.3">
      <c r="A121" s="14"/>
      <c r="B121" s="13"/>
      <c r="C121" s="13"/>
      <c r="D121" s="13"/>
      <c r="E121" s="13"/>
      <c r="F121" s="13"/>
      <c r="G121" s="60"/>
    </row>
    <row r="122" spans="1:7" ht="45.6" customHeight="1" x14ac:dyDescent="0.3">
      <c r="A122" s="343" t="s">
        <v>215</v>
      </c>
      <c r="B122" s="344"/>
      <c r="C122" s="344"/>
      <c r="D122" s="344"/>
      <c r="E122" s="344"/>
      <c r="F122" s="344"/>
      <c r="G122" s="345"/>
    </row>
    <row r="123" spans="1:7" s="181" customFormat="1" ht="32.4" customHeight="1" x14ac:dyDescent="0.3">
      <c r="A123" s="194" t="s">
        <v>224</v>
      </c>
      <c r="B123" s="71">
        <f>F65</f>
        <v>79.520409432599891</v>
      </c>
      <c r="C123" s="420" t="s">
        <v>225</v>
      </c>
      <c r="D123" s="421"/>
      <c r="E123" s="72">
        <f>IF(E40=0,0,(F40^0.8)*(((1000/IF(B123&gt;95,95,IF(B123&lt;50,50,B123)))-9)^0.7)/(1140*E40^0.5)*60)</f>
        <v>11.358940340335209</v>
      </c>
      <c r="F123" s="422" t="s">
        <v>102</v>
      </c>
      <c r="G123" s="190"/>
    </row>
    <row r="124" spans="1:7" ht="28.8" customHeight="1" x14ac:dyDescent="0.3">
      <c r="A124" s="59" t="s">
        <v>91</v>
      </c>
      <c r="B124" s="71">
        <f ca="1">F64</f>
        <v>85.97150241081583</v>
      </c>
      <c r="C124" s="383" t="s">
        <v>223</v>
      </c>
      <c r="D124" s="384"/>
      <c r="E124" s="72">
        <f ca="1">IF(E41=0,0,(F41^0.8)*(((1000/IF(B124&gt;95,95,IF(B124&lt;50,50,B124)))-9)^0.7)/(1140*E41^0.5)*60)</f>
        <v>8.9176409221508504</v>
      </c>
      <c r="F124" s="423"/>
      <c r="G124" s="64"/>
    </row>
    <row r="125" spans="1:7" ht="57.6" customHeight="1" thickBot="1" x14ac:dyDescent="0.35">
      <c r="A125" s="124" t="s">
        <v>171</v>
      </c>
      <c r="B125" s="365"/>
      <c r="C125" s="366"/>
      <c r="D125" s="366"/>
      <c r="E125" s="366"/>
      <c r="F125" s="366"/>
      <c r="G125" s="367"/>
    </row>
  </sheetData>
  <sheetProtection algorithmName="SHA-512" hashValue="iQwN48i2M0zlVmEZxL3hv28kH5yOBARUO1e7WtNH85HTENI/i3bhph8nobYKM0LMexIrWutJ9ad+Luqrgpzyww==" saltValue="/QsKaYTjQYN47DYohASxAg==" spinCount="100000" sheet="1" objects="1" scenarios="1"/>
  <dataConsolidate/>
  <mergeCells count="67">
    <mergeCell ref="A13:F13"/>
    <mergeCell ref="D4:F4"/>
    <mergeCell ref="D5:F5"/>
    <mergeCell ref="D6:F6"/>
    <mergeCell ref="B8:D8"/>
    <mergeCell ref="D2:F2"/>
    <mergeCell ref="B71:G71"/>
    <mergeCell ref="B88:G88"/>
    <mergeCell ref="D3:F3"/>
    <mergeCell ref="B125:G125"/>
    <mergeCell ref="B97:C97"/>
    <mergeCell ref="C103:D103"/>
    <mergeCell ref="E103:F103"/>
    <mergeCell ref="C124:D124"/>
    <mergeCell ref="C112:D112"/>
    <mergeCell ref="C123:D123"/>
    <mergeCell ref="F123:F124"/>
    <mergeCell ref="C111:D111"/>
    <mergeCell ref="A122:G122"/>
    <mergeCell ref="B117:F117"/>
    <mergeCell ref="C115:D115"/>
    <mergeCell ref="G14:G15"/>
    <mergeCell ref="C68:D68"/>
    <mergeCell ref="E68:F68"/>
    <mergeCell ref="C70:G70"/>
    <mergeCell ref="B82:D82"/>
    <mergeCell ref="B81:D81"/>
    <mergeCell ref="A48:G48"/>
    <mergeCell ref="A22:F22"/>
    <mergeCell ref="A44:C44"/>
    <mergeCell ref="A45:C45"/>
    <mergeCell ref="C54:D54"/>
    <mergeCell ref="A81:A84"/>
    <mergeCell ref="A38:G38"/>
    <mergeCell ref="A39:B41"/>
    <mergeCell ref="C49:D49"/>
    <mergeCell ref="C50:D50"/>
    <mergeCell ref="C116:G116"/>
    <mergeCell ref="B113:G113"/>
    <mergeCell ref="A110:G110"/>
    <mergeCell ref="A87:G87"/>
    <mergeCell ref="C53:D53"/>
    <mergeCell ref="D78:E78"/>
    <mergeCell ref="B83:D83"/>
    <mergeCell ref="B84:D84"/>
    <mergeCell ref="C75:D75"/>
    <mergeCell ref="C76:D76"/>
    <mergeCell ref="C77:G77"/>
    <mergeCell ref="E90:F90"/>
    <mergeCell ref="A94:C95"/>
    <mergeCell ref="E115:F115"/>
    <mergeCell ref="B101:G101"/>
    <mergeCell ref="C100:D100"/>
    <mergeCell ref="A99:G99"/>
    <mergeCell ref="F111:F112"/>
    <mergeCell ref="C104:G104"/>
    <mergeCell ref="C52:D52"/>
    <mergeCell ref="A21:G21"/>
    <mergeCell ref="B31:E31"/>
    <mergeCell ref="B105:F105"/>
    <mergeCell ref="E94:F94"/>
    <mergeCell ref="E95:G96"/>
    <mergeCell ref="F97:G97"/>
    <mergeCell ref="E93:F93"/>
    <mergeCell ref="C90:D90"/>
    <mergeCell ref="C91:G91"/>
    <mergeCell ref="C51:D51"/>
  </mergeCells>
  <conditionalFormatting sqref="E68:F68">
    <cfRule type="expression" dxfId="332" priority="56">
      <formula>$F$67=2</formula>
    </cfRule>
  </conditionalFormatting>
  <conditionalFormatting sqref="E90:F90">
    <cfRule type="expression" dxfId="331" priority="55">
      <formula>$F$89=2</formula>
    </cfRule>
  </conditionalFormatting>
  <conditionalFormatting sqref="E103:F103">
    <cfRule type="expression" dxfId="330" priority="53">
      <formula>$F$102=2</formula>
    </cfRule>
  </conditionalFormatting>
  <conditionalFormatting sqref="E115:F115">
    <cfRule type="expression" dxfId="329" priority="51">
      <formula>$F$114=2</formula>
    </cfRule>
  </conditionalFormatting>
  <conditionalFormatting sqref="B105:F105 D108">
    <cfRule type="expression" dxfId="328" priority="45">
      <formula>$F$102=1</formula>
    </cfRule>
  </conditionalFormatting>
  <conditionalFormatting sqref="D106">
    <cfRule type="expression" dxfId="327" priority="44">
      <formula>$F$102=1</formula>
    </cfRule>
  </conditionalFormatting>
  <conditionalFormatting sqref="B117:F117 D120">
    <cfRule type="expression" dxfId="326" priority="43">
      <formula>$F$114=1</formula>
    </cfRule>
  </conditionalFormatting>
  <conditionalFormatting sqref="B82:D82 B83:B84 E82:E84">
    <cfRule type="expression" dxfId="325" priority="59">
      <formula>$F$79&gt;0</formula>
    </cfRule>
  </conditionalFormatting>
  <conditionalFormatting sqref="E97">
    <cfRule type="expression" dxfId="324" priority="40">
      <formula>$G$94=TRUE</formula>
    </cfRule>
  </conditionalFormatting>
  <conditionalFormatting sqref="D119">
    <cfRule type="expression" dxfId="323" priority="38">
      <formula>$F$114=1</formula>
    </cfRule>
  </conditionalFormatting>
  <conditionalFormatting sqref="D118">
    <cfRule type="expression" dxfId="322" priority="37">
      <formula>$F$114=1</formula>
    </cfRule>
  </conditionalFormatting>
  <conditionalFormatting sqref="D107">
    <cfRule type="expression" dxfId="321" priority="36">
      <formula>$F$102=1</formula>
    </cfRule>
  </conditionalFormatting>
  <conditionalFormatting sqref="C64">
    <cfRule type="expression" dxfId="320" priority="35">
      <formula>$C$64="n/a"</formula>
    </cfRule>
  </conditionalFormatting>
  <conditionalFormatting sqref="B82:E84">
    <cfRule type="expression" dxfId="319" priority="34">
      <formula>$F$79="N/A"</formula>
    </cfRule>
  </conditionalFormatting>
  <conditionalFormatting sqref="C61">
    <cfRule type="expression" dxfId="318" priority="24">
      <formula>C61="n/a"</formula>
    </cfRule>
    <cfRule type="expression" dxfId="317" priority="29">
      <formula>C61="No"</formula>
    </cfRule>
    <cfRule type="expression" dxfId="316" priority="32">
      <formula>C61="Yes"</formula>
    </cfRule>
  </conditionalFormatting>
  <conditionalFormatting sqref="B61">
    <cfRule type="expression" dxfId="315" priority="21">
      <formula>B61="n/a"</formula>
    </cfRule>
    <cfRule type="expression" dxfId="314" priority="22">
      <formula>B61="No"</formula>
    </cfRule>
    <cfRule type="expression" dxfId="313" priority="23">
      <formula>B61="Yes"</formula>
    </cfRule>
  </conditionalFormatting>
  <conditionalFormatting sqref="D61:F61">
    <cfRule type="expression" dxfId="312" priority="18">
      <formula>D61="n/a"</formula>
    </cfRule>
    <cfRule type="expression" dxfId="311" priority="19">
      <formula>D61="No"</formula>
    </cfRule>
    <cfRule type="expression" dxfId="310" priority="20">
      <formula>D61="Yes"</formula>
    </cfRule>
  </conditionalFormatting>
  <conditionalFormatting sqref="B70">
    <cfRule type="expression" dxfId="309" priority="12">
      <formula>B70="n/a"</formula>
    </cfRule>
    <cfRule type="expression" dxfId="308" priority="13">
      <formula>B70="No"</formula>
    </cfRule>
    <cfRule type="expression" dxfId="307" priority="14">
      <formula>B70="Yes"</formula>
    </cfRule>
  </conditionalFormatting>
  <conditionalFormatting sqref="B91">
    <cfRule type="expression" dxfId="306" priority="9">
      <formula>B91="n/a"</formula>
    </cfRule>
    <cfRule type="expression" dxfId="305" priority="10">
      <formula>B91="No"</formula>
    </cfRule>
    <cfRule type="expression" dxfId="304" priority="11">
      <formula>B91="Yes"</formula>
    </cfRule>
  </conditionalFormatting>
  <conditionalFormatting sqref="B104">
    <cfRule type="expression" dxfId="303" priority="6">
      <formula>B104="n/a"</formula>
    </cfRule>
    <cfRule type="expression" dxfId="302" priority="7">
      <formula>B104="No"</formula>
    </cfRule>
    <cfRule type="expression" dxfId="301" priority="8">
      <formula>B104="Yes"</formula>
    </cfRule>
  </conditionalFormatting>
  <conditionalFormatting sqref="B116">
    <cfRule type="expression" dxfId="300" priority="3">
      <formula>B116="n/a"</formula>
    </cfRule>
    <cfRule type="expression" dxfId="299" priority="4">
      <formula>B116="No"</formula>
    </cfRule>
    <cfRule type="expression" dxfId="298" priority="5">
      <formula>B116="Yes"</formula>
    </cfRule>
  </conditionalFormatting>
  <conditionalFormatting sqref="F75">
    <cfRule type="expression" dxfId="297" priority="2">
      <formula>$E$75&gt;=5%</formula>
    </cfRule>
  </conditionalFormatting>
  <conditionalFormatting sqref="F76">
    <cfRule type="expression" dxfId="296" priority="1">
      <formula>$E$76&gt;0</formula>
    </cfRule>
  </conditionalFormatting>
  <dataValidations count="2">
    <dataValidation type="decimal" allowBlank="1" showInputMessage="1" showErrorMessage="1" errorTitle="Invalid Longitude" error="You've entered a longitude outside of Vermont.  Longitude values in VT should always be negative." sqref="D6:F6" xr:uid="{00000000-0002-0000-0200-000000000000}">
      <formula1>-73.732</formula1>
      <formula2>-71.46</formula2>
    </dataValidation>
    <dataValidation type="decimal" allowBlank="1" showInputMessage="1" showErrorMessage="1" errorTitle="Invalid Latitude!" error="You've entered a latitude that is not in Vermont." sqref="D5:F5" xr:uid="{00000000-0002-0000-0200-000001000000}">
      <formula1>42.72</formula1>
      <formula2>45.02</formula2>
    </dataValidation>
  </dataValidations>
  <hyperlinks>
    <hyperlink ref="E8" r:id="rId1" xr:uid="{00000000-0004-0000-0200-000000000000}"/>
  </hyperlinks>
  <pageMargins left="0.5" right="0.5" top="0.75" bottom="0.75" header="0.3" footer="0.3"/>
  <pageSetup orientation="portrait" r:id="rId2"/>
  <headerFooter>
    <oddHeader>&amp;C&amp;"-,Bold"&amp;14Vermont Operational Stormwater Permit - Standards Compliance Workbook</oddHeader>
    <oddFooter>&amp;LLast Updated 11/20/2017
&amp;R&amp;A: Page &amp;P of &amp;N</oddFooter>
  </headerFooter>
  <ignoredErrors>
    <ignoredError sqref="D2"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4341" r:id="rId5" name="Group Box 5">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4342" r:id="rId6" name="Option Button 6">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4343" r:id="rId7" name="Option Button 7">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4346" r:id="rId8" name="Group Box 10">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4347" r:id="rId9" name="Option Button 11">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4348" r:id="rId10" name="Option Button 12">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4358" r:id="rId11" name="Group Box 22">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4360" r:id="rId12" name="Option Button 24">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4362" r:id="rId13" name="Option Button 26">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4365" r:id="rId14" name="Group Box 29">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4366" r:id="rId15" name="Option Button 30">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4367" r:id="rId16" name="Option Button 31">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4393" r:id="rId17" name="Group Box 57">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4394" r:id="rId18" name="Option Button 58">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4395" r:id="rId19" name="Option Button 59">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4416" r:id="rId20" name="Check Box 80">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4418" r:id="rId21" name="Group Box 82">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4419" r:id="rId22" name="Option Button 83">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4422" r:id="rId23" name="Option Button 86">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4430" r:id="rId24" name="Group Box 94">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4437" r:id="rId25" name="Group Box 10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4438" r:id="rId26" name="Option Button 10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4439" r:id="rId27" name="Option Button 10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4442" r:id="rId28" name="Option Button 106">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4443" r:id="rId29" name="Option Button 107">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2000000}">
          <x14:formula1>
            <xm:f>Lookup!$G$3:$G$6</xm:f>
          </x14:formula1>
          <xm:sqref>E68:F68</xm:sqref>
        </x14:dataValidation>
        <x14:dataValidation type="list" allowBlank="1" showInputMessage="1" showErrorMessage="1" xr:uid="{00000000-0002-0000-0200-000003000000}">
          <x14:formula1>
            <xm:f>Lookup!$H$4:$H$7</xm:f>
          </x14:formula1>
          <xm:sqref>E90:F90</xm:sqref>
        </x14:dataValidation>
        <x14:dataValidation type="list" allowBlank="1" showInputMessage="1" showErrorMessage="1" xr:uid="{00000000-0002-0000-0200-000005000000}">
          <x14:formula1>
            <xm:f>Lookup!$I$4:$I$8</xm:f>
          </x14:formula1>
          <xm:sqref>E103:F103</xm:sqref>
        </x14:dataValidation>
        <x14:dataValidation type="list" allowBlank="1" showInputMessage="1" showErrorMessage="1" xr:uid="{00000000-0002-0000-0200-000006000000}">
          <x14:formula1>
            <xm:f>Lookup!$J$4:$J$8</xm:f>
          </x14:formula1>
          <xm:sqref>E115:F115</xm:sqref>
        </x14:dataValidation>
        <x14:dataValidation type="list" allowBlank="1" showInputMessage="1" showErrorMessage="1" xr:uid="{00000000-0002-0000-0200-000007000000}">
          <x14:formula1>
            <xm:f>Lookup!$H$13:$H$19</xm:f>
          </x14:formula1>
          <xm:sqref>C82:D82 B82:B84</xm:sqref>
        </x14:dataValidation>
        <x14:dataValidation type="list" allowBlank="1" showInputMessage="1" showErrorMessage="1" xr:uid="{00000000-0002-0000-0200-000008000000}">
          <x14:formula1>
            <xm:f>Lookup!$G$12:$G$23</xm:f>
          </x14:formula1>
          <xm:sqref>A55</xm:sqref>
        </x14:dataValidation>
        <x14:dataValidation type="list" allowBlank="1" showInputMessage="1" showErrorMessage="1" xr:uid="{00000000-0002-0000-0200-000009000000}">
          <x14:formula1>
            <xm:f>Lookup!$G$11:$G$23</xm:f>
          </x14:formula1>
          <xm:sqref>A50:A54 C50:D54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BD6EB-D532-47A1-BD68-67767A9A0F69}">
  <dimension ref="A1:O125"/>
  <sheetViews>
    <sheetView view="pageLayout" topLeftCell="A43" zoomScaleNormal="100" workbookViewId="0">
      <selection activeCell="B51" sqref="B51"/>
    </sheetView>
  </sheetViews>
  <sheetFormatPr defaultRowHeight="14.4" x14ac:dyDescent="0.3"/>
  <cols>
    <col min="1" max="1" width="21.88671875" style="181" customWidth="1"/>
    <col min="2" max="6" width="12.21875" style="181" customWidth="1"/>
    <col min="7" max="7" width="7.21875" style="181" customWidth="1"/>
    <col min="8" max="8" width="8.88671875" style="181"/>
    <col min="9" max="9" width="8.6640625" style="181" customWidth="1"/>
    <col min="10" max="16384" width="8.88671875" style="181"/>
  </cols>
  <sheetData>
    <row r="1" spans="1:15" ht="18" x14ac:dyDescent="0.35">
      <c r="A1" s="96" t="s">
        <v>32</v>
      </c>
      <c r="B1" s="97"/>
      <c r="C1" s="97"/>
      <c r="D1" s="97"/>
      <c r="E1" s="97"/>
      <c r="F1" s="97"/>
      <c r="G1" s="98"/>
      <c r="H1" s="32"/>
      <c r="I1" s="21"/>
      <c r="J1" s="21"/>
    </row>
    <row r="2" spans="1:15" x14ac:dyDescent="0.3">
      <c r="A2" s="14"/>
      <c r="B2" s="13"/>
      <c r="C2" s="45" t="s">
        <v>29</v>
      </c>
      <c r="D2" s="411" t="str">
        <f>IF(Summary!C1="","",Summary!C1)</f>
        <v>East Street Industrial Park</v>
      </c>
      <c r="E2" s="411"/>
      <c r="F2" s="411"/>
      <c r="G2" s="99"/>
      <c r="H2" s="22"/>
      <c r="I2" s="22"/>
      <c r="J2" s="22"/>
    </row>
    <row r="3" spans="1:15" x14ac:dyDescent="0.3">
      <c r="A3" s="14"/>
      <c r="B3" s="13"/>
      <c r="C3" s="45" t="s">
        <v>30</v>
      </c>
      <c r="D3" s="415">
        <v>2</v>
      </c>
      <c r="E3" s="416"/>
      <c r="F3" s="417"/>
      <c r="G3" s="99"/>
      <c r="H3" s="22"/>
      <c r="I3" s="22"/>
      <c r="J3" s="22"/>
    </row>
    <row r="4" spans="1:15" x14ac:dyDescent="0.3">
      <c r="A4" s="14"/>
      <c r="B4" s="13"/>
      <c r="C4" s="45" t="s">
        <v>31</v>
      </c>
      <c r="D4" s="415" t="s">
        <v>260</v>
      </c>
      <c r="E4" s="416"/>
      <c r="F4" s="417"/>
      <c r="G4" s="99"/>
      <c r="H4" s="22"/>
      <c r="I4" s="22"/>
      <c r="J4" s="22"/>
    </row>
    <row r="5" spans="1:15" x14ac:dyDescent="0.3">
      <c r="A5" s="14"/>
      <c r="B5" s="13"/>
      <c r="C5" s="45" t="s">
        <v>172</v>
      </c>
      <c r="D5" s="430">
        <v>44.000019999999999</v>
      </c>
      <c r="E5" s="430"/>
      <c r="F5" s="430"/>
      <c r="G5" s="99"/>
      <c r="H5" s="22"/>
      <c r="I5" s="22"/>
      <c r="J5" s="22"/>
    </row>
    <row r="6" spans="1:15" ht="15.6" customHeight="1" x14ac:dyDescent="0.3">
      <c r="A6" s="14"/>
      <c r="B6" s="13"/>
      <c r="C6" s="46" t="s">
        <v>177</v>
      </c>
      <c r="D6" s="431">
        <v>-73.000020000000006</v>
      </c>
      <c r="E6" s="432"/>
      <c r="F6" s="433"/>
      <c r="G6" s="99"/>
      <c r="H6" s="22"/>
      <c r="I6" s="22"/>
      <c r="J6" s="22"/>
    </row>
    <row r="7" spans="1:15" ht="9.6" customHeight="1" x14ac:dyDescent="0.3">
      <c r="A7" s="14"/>
      <c r="B7" s="13"/>
      <c r="C7" s="13"/>
      <c r="D7" s="13"/>
      <c r="E7" s="13"/>
      <c r="F7" s="15"/>
      <c r="G7" s="99"/>
      <c r="H7" s="22"/>
      <c r="I7" s="22"/>
      <c r="J7" s="22"/>
    </row>
    <row r="8" spans="1:15" ht="18" x14ac:dyDescent="0.35">
      <c r="A8" s="91" t="s">
        <v>53</v>
      </c>
      <c r="B8" s="434" t="s">
        <v>40</v>
      </c>
      <c r="C8" s="434"/>
      <c r="D8" s="434"/>
      <c r="E8" s="76" t="s">
        <v>41</v>
      </c>
      <c r="F8" s="13"/>
      <c r="G8" s="60"/>
      <c r="K8" s="23"/>
      <c r="L8" s="13"/>
      <c r="M8" s="13"/>
      <c r="N8" s="13"/>
      <c r="O8" s="13"/>
    </row>
    <row r="9" spans="1:15" x14ac:dyDescent="0.3">
      <c r="A9" s="130" t="s">
        <v>52</v>
      </c>
      <c r="B9" s="131" t="s">
        <v>54</v>
      </c>
      <c r="C9" s="132" t="s">
        <v>55</v>
      </c>
      <c r="D9" s="132" t="s">
        <v>56</v>
      </c>
      <c r="E9" s="132" t="s">
        <v>57</v>
      </c>
      <c r="F9" s="13"/>
      <c r="G9" s="60"/>
      <c r="K9" s="13"/>
      <c r="L9" s="13"/>
      <c r="M9" s="13"/>
      <c r="N9" s="13"/>
    </row>
    <row r="10" spans="1:15" x14ac:dyDescent="0.3">
      <c r="A10" s="61" t="s">
        <v>0</v>
      </c>
      <c r="B10" s="217">
        <v>1</v>
      </c>
      <c r="C10" s="218">
        <v>2.2000000000000002</v>
      </c>
      <c r="D10" s="218">
        <v>3.99</v>
      </c>
      <c r="E10" s="218">
        <v>6.11</v>
      </c>
      <c r="F10" s="13"/>
      <c r="G10" s="60"/>
      <c r="K10" s="13"/>
      <c r="L10" s="13"/>
      <c r="M10" s="13"/>
      <c r="N10" s="13"/>
    </row>
    <row r="11" spans="1:15" ht="12.6" customHeight="1" thickBot="1" x14ac:dyDescent="0.35">
      <c r="A11" s="100"/>
      <c r="B11" s="101"/>
      <c r="C11" s="102"/>
      <c r="D11" s="102"/>
      <c r="E11" s="102"/>
      <c r="F11" s="102"/>
      <c r="G11" s="70"/>
      <c r="K11" s="13"/>
      <c r="L11" s="6"/>
      <c r="M11" s="13"/>
      <c r="N11" s="13"/>
      <c r="O11" s="13"/>
    </row>
    <row r="12" spans="1:15" ht="15.6" x14ac:dyDescent="0.3">
      <c r="A12" s="77" t="s">
        <v>82</v>
      </c>
      <c r="B12" s="94"/>
      <c r="C12" s="95"/>
      <c r="D12" s="95"/>
      <c r="E12" s="95"/>
      <c r="F12" s="95"/>
      <c r="G12" s="58"/>
      <c r="K12" s="13"/>
      <c r="L12" s="6"/>
      <c r="M12" s="13"/>
      <c r="N12" s="13"/>
      <c r="O12" s="13"/>
    </row>
    <row r="13" spans="1:15" ht="15.6" x14ac:dyDescent="0.3">
      <c r="A13" s="425" t="s">
        <v>58</v>
      </c>
      <c r="B13" s="426"/>
      <c r="C13" s="426"/>
      <c r="D13" s="426"/>
      <c r="E13" s="426"/>
      <c r="F13" s="426"/>
      <c r="G13" s="60"/>
      <c r="K13" s="13"/>
      <c r="L13" s="6"/>
      <c r="M13" s="13"/>
      <c r="N13" s="13"/>
      <c r="O13" s="13"/>
    </row>
    <row r="14" spans="1:15" x14ac:dyDescent="0.3">
      <c r="A14" s="243" t="s">
        <v>8</v>
      </c>
      <c r="B14" s="251" t="s">
        <v>2</v>
      </c>
      <c r="C14" s="251" t="s">
        <v>3</v>
      </c>
      <c r="D14" s="251" t="s">
        <v>4</v>
      </c>
      <c r="E14" s="251" t="s">
        <v>5</v>
      </c>
      <c r="F14" s="245" t="s">
        <v>13</v>
      </c>
      <c r="G14" s="385"/>
      <c r="H14" s="19"/>
      <c r="I14" s="19"/>
      <c r="J14" s="19"/>
      <c r="K14" s="13"/>
      <c r="L14" s="13"/>
      <c r="M14" s="13"/>
      <c r="N14" s="13"/>
      <c r="O14" s="13"/>
    </row>
    <row r="15" spans="1:15" ht="15.6" x14ac:dyDescent="0.3">
      <c r="A15" s="111" t="s">
        <v>6</v>
      </c>
      <c r="B15" s="216">
        <v>0</v>
      </c>
      <c r="C15" s="216">
        <v>0</v>
      </c>
      <c r="D15" s="216">
        <v>0</v>
      </c>
      <c r="E15" s="216">
        <v>0</v>
      </c>
      <c r="F15" s="133">
        <f t="shared" ref="F15:F18" si="0">SUM(B15:E15)</f>
        <v>0</v>
      </c>
      <c r="G15" s="385"/>
      <c r="H15" s="19"/>
      <c r="I15" s="19"/>
      <c r="J15" s="19"/>
      <c r="K15" s="10"/>
      <c r="L15" s="13"/>
      <c r="M15" s="13"/>
      <c r="N15" s="13"/>
      <c r="O15" s="13"/>
    </row>
    <row r="16" spans="1:15" x14ac:dyDescent="0.3">
      <c r="A16" s="111" t="s">
        <v>38</v>
      </c>
      <c r="B16" s="216">
        <v>0</v>
      </c>
      <c r="C16" s="216">
        <v>0</v>
      </c>
      <c r="D16" s="216">
        <v>0</v>
      </c>
      <c r="E16" s="216">
        <v>0</v>
      </c>
      <c r="F16" s="133">
        <f t="shared" si="0"/>
        <v>0</v>
      </c>
      <c r="G16" s="60"/>
      <c r="H16" s="1"/>
      <c r="I16" s="33"/>
      <c r="J16" s="33"/>
      <c r="K16" s="13"/>
      <c r="L16" s="22"/>
      <c r="M16" s="13"/>
      <c r="N16" s="13"/>
      <c r="O16" s="13"/>
    </row>
    <row r="17" spans="1:15" x14ac:dyDescent="0.3">
      <c r="A17" s="111" t="s">
        <v>7</v>
      </c>
      <c r="B17" s="216">
        <v>0</v>
      </c>
      <c r="C17" s="216">
        <v>0</v>
      </c>
      <c r="D17" s="216">
        <v>1.64</v>
      </c>
      <c r="E17" s="216">
        <v>0.8</v>
      </c>
      <c r="F17" s="133">
        <f t="shared" si="0"/>
        <v>2.44</v>
      </c>
      <c r="G17" s="60"/>
      <c r="H17" s="1"/>
      <c r="I17" s="33"/>
      <c r="J17" s="33"/>
      <c r="K17" s="13"/>
      <c r="L17" s="22"/>
      <c r="M17" s="13"/>
      <c r="N17" s="13"/>
      <c r="O17" s="13"/>
    </row>
    <row r="18" spans="1:15" x14ac:dyDescent="0.3">
      <c r="A18" s="224" t="s">
        <v>251</v>
      </c>
      <c r="B18" s="216">
        <v>0</v>
      </c>
      <c r="C18" s="216">
        <v>0</v>
      </c>
      <c r="D18" s="216">
        <v>0</v>
      </c>
      <c r="E18" s="216">
        <v>0</v>
      </c>
      <c r="F18" s="133">
        <f t="shared" si="0"/>
        <v>0</v>
      </c>
      <c r="G18" s="60"/>
      <c r="H18" s="19"/>
      <c r="I18" s="19"/>
      <c r="J18" s="34"/>
      <c r="K18" s="13"/>
      <c r="L18" s="22"/>
      <c r="M18" s="13"/>
      <c r="N18" s="13"/>
      <c r="O18" s="13"/>
    </row>
    <row r="19" spans="1:15" ht="13.8" customHeight="1" x14ac:dyDescent="0.3">
      <c r="A19" s="68"/>
      <c r="B19" s="255"/>
      <c r="C19" s="255"/>
      <c r="D19" s="271"/>
      <c r="E19" s="261" t="s">
        <v>249</v>
      </c>
      <c r="F19" s="274">
        <v>0</v>
      </c>
      <c r="G19" s="60"/>
      <c r="H19" s="19"/>
      <c r="I19" s="19"/>
      <c r="J19" s="34"/>
      <c r="K19" s="13"/>
      <c r="L19" s="6"/>
      <c r="M19" s="13"/>
      <c r="N19" s="13"/>
      <c r="O19" s="13"/>
    </row>
    <row r="20" spans="1:15" ht="13.8" customHeight="1" x14ac:dyDescent="0.3">
      <c r="A20" s="68"/>
      <c r="B20" s="255"/>
      <c r="C20" s="255"/>
      <c r="D20" s="255"/>
      <c r="E20" s="261" t="s">
        <v>250</v>
      </c>
      <c r="F20" s="272">
        <f>SUM(F15:F19)</f>
        <v>2.44</v>
      </c>
      <c r="G20" s="60"/>
      <c r="H20" s="19"/>
      <c r="I20" s="19"/>
      <c r="J20" s="34"/>
      <c r="K20" s="13"/>
      <c r="L20" s="6"/>
      <c r="M20" s="13"/>
      <c r="N20" s="13"/>
      <c r="O20" s="13"/>
    </row>
    <row r="21" spans="1:15" ht="28.2" customHeight="1" x14ac:dyDescent="0.3">
      <c r="A21" s="353" t="str">
        <f>IF(F18=0,IF(F28+F29+F30&gt;0,"Existing and/or redeveloped impervious has been defined in post development. User must define existing impervious in pre development.",""),"")</f>
        <v/>
      </c>
      <c r="B21" s="354"/>
      <c r="C21" s="354"/>
      <c r="D21" s="354"/>
      <c r="E21" s="354"/>
      <c r="F21" s="354"/>
      <c r="G21" s="355"/>
      <c r="H21" s="19"/>
      <c r="I21" s="19"/>
      <c r="J21" s="34"/>
      <c r="K21" s="13"/>
      <c r="L21" s="6"/>
      <c r="M21" s="13"/>
      <c r="N21" s="13"/>
      <c r="O21" s="13"/>
    </row>
    <row r="22" spans="1:15" ht="15.6" x14ac:dyDescent="0.3">
      <c r="A22" s="397" t="s">
        <v>123</v>
      </c>
      <c r="B22" s="398"/>
      <c r="C22" s="398"/>
      <c r="D22" s="398"/>
      <c r="E22" s="398"/>
      <c r="F22" s="398"/>
      <c r="G22" s="262" t="s">
        <v>246</v>
      </c>
      <c r="H22" s="19"/>
      <c r="I22" s="19"/>
      <c r="J22" s="34"/>
      <c r="K22" s="13"/>
      <c r="L22" s="6"/>
      <c r="M22" s="13"/>
      <c r="N22" s="13"/>
      <c r="O22" s="13"/>
    </row>
    <row r="23" spans="1:15" ht="13.8" customHeight="1" x14ac:dyDescent="0.3">
      <c r="A23" s="243" t="s">
        <v>8</v>
      </c>
      <c r="B23" s="251" t="s">
        <v>2</v>
      </c>
      <c r="C23" s="251" t="s">
        <v>3</v>
      </c>
      <c r="D23" s="251" t="s">
        <v>4</v>
      </c>
      <c r="E23" s="251" t="s">
        <v>5</v>
      </c>
      <c r="F23" s="245" t="s">
        <v>13</v>
      </c>
      <c r="G23" s="60"/>
      <c r="L23" s="6"/>
      <c r="M23" s="13"/>
      <c r="N23" s="13"/>
      <c r="O23" s="13"/>
    </row>
    <row r="24" spans="1:15" x14ac:dyDescent="0.3">
      <c r="A24" s="111" t="s">
        <v>6</v>
      </c>
      <c r="B24" s="216">
        <v>0</v>
      </c>
      <c r="C24" s="216">
        <v>0</v>
      </c>
      <c r="D24" s="216">
        <v>0.95</v>
      </c>
      <c r="E24" s="216">
        <v>0.69</v>
      </c>
      <c r="F24" s="133">
        <f>SUM(B24:E24)</f>
        <v>1.64</v>
      </c>
      <c r="G24" s="60"/>
      <c r="L24" s="13"/>
      <c r="M24" s="13"/>
      <c r="N24" s="13"/>
      <c r="O24" s="13"/>
    </row>
    <row r="25" spans="1:15" x14ac:dyDescent="0.3">
      <c r="A25" s="111" t="s">
        <v>38</v>
      </c>
      <c r="B25" s="216">
        <v>0</v>
      </c>
      <c r="C25" s="216">
        <v>0</v>
      </c>
      <c r="D25" s="216">
        <v>0</v>
      </c>
      <c r="E25" s="216">
        <v>0</v>
      </c>
      <c r="F25" s="133">
        <f>SUM(B25:E25)</f>
        <v>0</v>
      </c>
      <c r="G25" s="60"/>
      <c r="L25" s="13"/>
      <c r="M25" s="13"/>
      <c r="N25" s="13"/>
      <c r="O25" s="13"/>
    </row>
    <row r="26" spans="1:15" x14ac:dyDescent="0.3">
      <c r="A26" s="111" t="s">
        <v>7</v>
      </c>
      <c r="B26" s="216">
        <v>0</v>
      </c>
      <c r="C26" s="216">
        <v>0</v>
      </c>
      <c r="D26" s="216">
        <v>0.39</v>
      </c>
      <c r="E26" s="216">
        <v>0.02</v>
      </c>
      <c r="F26" s="133">
        <f>SUM(B26:E26)</f>
        <v>0.41000000000000003</v>
      </c>
      <c r="G26" s="60"/>
      <c r="L26" s="6"/>
      <c r="M26" s="13"/>
      <c r="N26" s="13"/>
      <c r="O26" s="13"/>
    </row>
    <row r="27" spans="1:15" x14ac:dyDescent="0.3">
      <c r="A27" s="244" t="s">
        <v>243</v>
      </c>
      <c r="B27" s="256">
        <v>0</v>
      </c>
      <c r="C27" s="256">
        <v>0</v>
      </c>
      <c r="D27" s="256">
        <v>0</v>
      </c>
      <c r="E27" s="256">
        <v>0.39</v>
      </c>
      <c r="F27" s="257">
        <f>SUM(B27:E27)</f>
        <v>0.39</v>
      </c>
      <c r="G27" s="263">
        <f>IF(F32=0,0,F27/$F$32)</f>
        <v>0.1598360655737705</v>
      </c>
      <c r="L27" s="6"/>
      <c r="M27" s="13"/>
      <c r="N27" s="13"/>
      <c r="O27" s="13"/>
    </row>
    <row r="28" spans="1:15" ht="43.2" x14ac:dyDescent="0.3">
      <c r="A28" s="254" t="s">
        <v>244</v>
      </c>
      <c r="B28" s="253">
        <v>0</v>
      </c>
      <c r="C28" s="253">
        <v>0</v>
      </c>
      <c r="D28" s="253">
        <v>0</v>
      </c>
      <c r="E28" s="253">
        <v>0</v>
      </c>
      <c r="F28" s="234">
        <f>SUM(B28:E28)</f>
        <v>0</v>
      </c>
      <c r="G28" s="264">
        <f>IF(F32=0,0,F28/$F$32)</f>
        <v>0</v>
      </c>
      <c r="L28" s="6"/>
      <c r="M28" s="13"/>
      <c r="N28" s="13"/>
      <c r="O28" s="13"/>
    </row>
    <row r="29" spans="1:15" x14ac:dyDescent="0.3">
      <c r="A29" s="254"/>
      <c r="B29" s="276"/>
      <c r="C29" s="276"/>
      <c r="D29" s="276"/>
      <c r="E29" s="277" t="s">
        <v>247</v>
      </c>
      <c r="F29" s="275">
        <v>0</v>
      </c>
      <c r="G29" s="263">
        <f>IF(F32=0,0,F29/$F$32)</f>
        <v>0</v>
      </c>
      <c r="L29" s="6"/>
      <c r="M29" s="13"/>
      <c r="N29" s="13"/>
      <c r="O29" s="13"/>
    </row>
    <row r="30" spans="1:15" x14ac:dyDescent="0.3">
      <c r="A30" s="14"/>
      <c r="B30" s="278"/>
      <c r="C30" s="278"/>
      <c r="D30" s="278"/>
      <c r="E30" s="279" t="s">
        <v>39</v>
      </c>
      <c r="F30" s="275">
        <v>0</v>
      </c>
      <c r="G30" s="263">
        <f>IF(F32=0,0,F30/$F$32)</f>
        <v>0</v>
      </c>
      <c r="H30" s="19"/>
      <c r="I30" s="19"/>
      <c r="J30" s="34"/>
      <c r="K30" s="13"/>
      <c r="L30" s="6"/>
      <c r="M30" s="13"/>
      <c r="N30" s="13"/>
      <c r="O30" s="13"/>
    </row>
    <row r="31" spans="1:15" x14ac:dyDescent="0.3">
      <c r="A31" s="14"/>
      <c r="B31" s="356" t="s">
        <v>248</v>
      </c>
      <c r="C31" s="356"/>
      <c r="D31" s="356"/>
      <c r="E31" s="356"/>
      <c r="F31" s="273">
        <f>F19</f>
        <v>0</v>
      </c>
      <c r="G31" s="263">
        <f>IF(F32=0,0,F31/$F$32)</f>
        <v>0</v>
      </c>
      <c r="H31" s="19"/>
      <c r="I31" s="19"/>
      <c r="J31" s="34"/>
      <c r="K31" s="13"/>
      <c r="L31" s="6"/>
      <c r="M31" s="13"/>
      <c r="N31" s="13"/>
      <c r="O31" s="13"/>
    </row>
    <row r="32" spans="1:15" x14ac:dyDescent="0.3">
      <c r="A32" s="14"/>
      <c r="B32" s="278"/>
      <c r="C32" s="278"/>
      <c r="D32" s="280"/>
      <c r="E32" s="281" t="s">
        <v>9</v>
      </c>
      <c r="F32" s="235">
        <f>SUM(F24:F31)</f>
        <v>2.44</v>
      </c>
      <c r="G32" s="60"/>
      <c r="H32" s="1"/>
      <c r="I32" s="33"/>
      <c r="J32" s="33"/>
      <c r="K32" s="13"/>
      <c r="L32" s="6"/>
      <c r="M32" s="13"/>
      <c r="N32" s="13"/>
      <c r="O32" s="13"/>
    </row>
    <row r="33" spans="1:15" ht="7.2" customHeight="1" x14ac:dyDescent="0.3">
      <c r="A33" s="14"/>
      <c r="B33" s="13"/>
      <c r="C33" s="13"/>
      <c r="D33" s="255"/>
      <c r="E33" s="145"/>
      <c r="F33" s="255"/>
      <c r="G33" s="60"/>
      <c r="H33" s="1"/>
      <c r="I33" s="33"/>
      <c r="J33" s="33"/>
      <c r="K33" s="13"/>
      <c r="L33" s="6"/>
      <c r="M33" s="13"/>
      <c r="N33" s="13"/>
      <c r="O33" s="13"/>
    </row>
    <row r="34" spans="1:15" x14ac:dyDescent="0.3">
      <c r="A34" s="14"/>
      <c r="B34" s="13"/>
      <c r="C34" s="13"/>
      <c r="D34" s="255"/>
      <c r="E34" s="260" t="s">
        <v>220</v>
      </c>
      <c r="F34" s="235">
        <f>F31+F30+F28+F27</f>
        <v>0.39</v>
      </c>
      <c r="G34" s="60"/>
      <c r="H34" s="1"/>
      <c r="I34" s="33"/>
      <c r="J34" s="33"/>
      <c r="K34" s="13"/>
      <c r="L34" s="6"/>
      <c r="M34" s="13"/>
      <c r="N34" s="13"/>
      <c r="O34" s="13"/>
    </row>
    <row r="35" spans="1:15" x14ac:dyDescent="0.3">
      <c r="A35" s="14"/>
      <c r="B35" s="13"/>
      <c r="C35" s="13"/>
      <c r="D35" s="255"/>
      <c r="E35" s="261" t="s">
        <v>202</v>
      </c>
      <c r="F35" s="259">
        <f>IF(F18-(F27+F28+F30+F29+F31)&lt;0,0,F18-(F27+F28+F30+F29+F31))</f>
        <v>0</v>
      </c>
      <c r="G35" s="263">
        <f>IF(F18=0,0,F35/F18)</f>
        <v>0</v>
      </c>
      <c r="H35" s="1"/>
      <c r="I35" s="33"/>
      <c r="J35" s="33"/>
      <c r="K35" s="13"/>
      <c r="L35" s="6"/>
      <c r="M35" s="13"/>
      <c r="N35" s="13"/>
      <c r="O35" s="13"/>
    </row>
    <row r="36" spans="1:15" x14ac:dyDescent="0.3">
      <c r="A36" s="14"/>
      <c r="B36" s="13"/>
      <c r="C36" s="13"/>
      <c r="D36" s="255"/>
      <c r="E36" s="261" t="s">
        <v>245</v>
      </c>
      <c r="F36" s="259">
        <f>IF((F18-F29-F28-F30)&lt;0,0,(F18-F29-F28-F30))</f>
        <v>0</v>
      </c>
      <c r="G36" s="263">
        <f>IF(F18-F28-F29=0,0,F36/(F18-F28-F29))</f>
        <v>0</v>
      </c>
      <c r="H36" s="1"/>
      <c r="I36" s="33"/>
      <c r="J36" s="33"/>
      <c r="K36" s="13"/>
      <c r="L36" s="6"/>
      <c r="M36" s="13"/>
      <c r="N36" s="13"/>
      <c r="O36" s="13"/>
    </row>
    <row r="37" spans="1:15" ht="7.2" customHeight="1" x14ac:dyDescent="0.3">
      <c r="A37" s="14"/>
      <c r="B37" s="13"/>
      <c r="C37" s="13"/>
      <c r="D37" s="255"/>
      <c r="E37" s="258"/>
      <c r="F37" s="19"/>
      <c r="G37" s="60"/>
      <c r="H37" s="1"/>
      <c r="I37" s="33"/>
      <c r="J37" s="33"/>
      <c r="K37" s="13"/>
      <c r="L37" s="6"/>
      <c r="M37" s="13"/>
      <c r="N37" s="13"/>
      <c r="O37" s="13"/>
    </row>
    <row r="38" spans="1:15" ht="30.6" customHeight="1" thickBot="1" x14ac:dyDescent="0.35">
      <c r="A38" s="402" t="str">
        <f>IF(F32=F20,"","WARNING: Pre development and post development areas don't match, so evaluation of the Hydrologic Condition Method is not appropriate within this drainage area. Designer may consider HCM across drainage areas.")</f>
        <v/>
      </c>
      <c r="B38" s="403"/>
      <c r="C38" s="403"/>
      <c r="D38" s="403"/>
      <c r="E38" s="403"/>
      <c r="F38" s="403"/>
      <c r="G38" s="404"/>
      <c r="H38" s="1"/>
      <c r="I38" s="33"/>
      <c r="J38" s="33"/>
      <c r="K38" s="13"/>
      <c r="L38" s="6"/>
      <c r="M38" s="13"/>
      <c r="N38" s="13"/>
      <c r="O38" s="13"/>
    </row>
    <row r="39" spans="1:15" ht="43.2" x14ac:dyDescent="0.3">
      <c r="A39" s="405" t="s">
        <v>242</v>
      </c>
      <c r="B39" s="406"/>
      <c r="C39" s="57"/>
      <c r="D39" s="236"/>
      <c r="E39" s="237" t="s">
        <v>219</v>
      </c>
      <c r="F39" s="238" t="s">
        <v>218</v>
      </c>
      <c r="G39" s="58"/>
      <c r="H39" s="1"/>
      <c r="I39" s="33"/>
      <c r="K39" s="13"/>
      <c r="L39" s="6"/>
      <c r="M39" s="13"/>
      <c r="N39" s="13"/>
      <c r="O39" s="13"/>
    </row>
    <row r="40" spans="1:15" ht="14.4" customHeight="1" x14ac:dyDescent="0.3">
      <c r="A40" s="407"/>
      <c r="B40" s="408"/>
      <c r="C40" s="13"/>
      <c r="D40" s="20" t="s">
        <v>216</v>
      </c>
      <c r="E40" s="198">
        <v>2.1800000000000002</v>
      </c>
      <c r="F40" s="171">
        <v>356.9</v>
      </c>
      <c r="G40" s="60"/>
      <c r="H40" s="1"/>
      <c r="I40" s="33"/>
      <c r="J40" s="33"/>
      <c r="K40" s="13"/>
      <c r="L40" s="6"/>
      <c r="M40" s="13"/>
      <c r="N40" s="13"/>
      <c r="O40" s="13"/>
    </row>
    <row r="41" spans="1:15" ht="14.4" customHeight="1" x14ac:dyDescent="0.3">
      <c r="A41" s="407"/>
      <c r="B41" s="408"/>
      <c r="C41" s="13"/>
      <c r="D41" s="20" t="s">
        <v>217</v>
      </c>
      <c r="E41" s="198">
        <v>2.0699999999999998</v>
      </c>
      <c r="F41" s="171">
        <v>356.9</v>
      </c>
      <c r="G41" s="60"/>
      <c r="H41" s="1"/>
      <c r="I41" s="33"/>
      <c r="J41" s="33"/>
      <c r="K41" s="13"/>
      <c r="L41" s="6"/>
      <c r="M41" s="13"/>
      <c r="N41" s="13"/>
      <c r="O41" s="13"/>
    </row>
    <row r="42" spans="1:15" ht="7.2" customHeight="1" thickBot="1" x14ac:dyDescent="0.35">
      <c r="A42" s="16"/>
      <c r="B42" s="92"/>
      <c r="C42" s="192"/>
      <c r="D42" s="192"/>
      <c r="E42" s="192"/>
      <c r="F42" s="193"/>
      <c r="G42" s="70"/>
      <c r="H42" s="1"/>
      <c r="I42" s="33"/>
      <c r="J42" s="33"/>
      <c r="K42" s="13"/>
      <c r="L42" s="6"/>
      <c r="M42" s="13"/>
      <c r="N42" s="13"/>
      <c r="O42" s="13"/>
    </row>
    <row r="43" spans="1:15" ht="14.4" customHeight="1" x14ac:dyDescent="0.35">
      <c r="A43" s="56" t="s">
        <v>59</v>
      </c>
      <c r="B43" s="240"/>
      <c r="C43" s="57"/>
      <c r="D43" s="123" t="s">
        <v>60</v>
      </c>
      <c r="E43" s="123" t="s">
        <v>61</v>
      </c>
      <c r="F43" s="123" t="s">
        <v>62</v>
      </c>
      <c r="G43" s="58"/>
      <c r="K43" s="10"/>
      <c r="L43" s="13"/>
      <c r="M43" s="13"/>
      <c r="N43" s="13"/>
      <c r="O43" s="13"/>
    </row>
    <row r="44" spans="1:15" ht="14.4" customHeight="1" x14ac:dyDescent="0.3">
      <c r="A44" s="399" t="s">
        <v>112</v>
      </c>
      <c r="B44" s="386"/>
      <c r="C44" s="400"/>
      <c r="D44" s="265">
        <f>(IF($C$10&lt;0.2*Lookup!$B$13,0,(('SN2'!$C$10-0.2*Lookup!$B$13)^2/('SN2'!$C$10+0.8*Lookup!$B$13)))*$B$15+IF($C$10&lt;0.2*Lookup!$B$14,0,(('SN2'!$C$10-0.2*Lookup!$B$14)^2/('SN2'!$C$10+0.8*Lookup!$B$14)))*$B$16+IF($C$10&lt;0.2*Lookup!$B$15,0,(('SN2'!$C$10-0.2*Lookup!$B$15)^2/('SN2'!$C$10+0.8*Lookup!$B$15)))*$B$17++IF($C$10&lt;0.2*Lookup!$B$17,0,(('SN2'!$C$10-0.2*Lookup!$B$17)^2/('SN2'!$C$10+0.8*Lookup!$B$17)))*$B$18+IF($C$10&lt;0.2*Lookup!$C$13,0,(('SN2'!$C$10-0.2*Lookup!$C$13)^2/('SN2'!C$10+0.8*Lookup!$C$13)))*$C$15+IF($C$10&lt;0.2*Lookup!$C$14,0,(('SN2'!$C$10-0.2*Lookup!$C$14)^2/('SN2'!$C$10+0.8*Lookup!$C$14)))*$C$16+IF($C$10&lt;0.2*Lookup!$C$15,0,(('SN2'!$C$10-0.2*Lookup!$C$15)^2/('SN2'!$C$10+0.8*Lookup!$C$15)))*$C$17+IF($C$10&lt;0.2*Lookup!$C$17,0,(('SN2'!$C$10-0.2*Lookup!$C$17)^2/('SN2'!$C$10+0.8*Lookup!$C$17)))*$C$18+IF($C$10&lt;0.2*Lookup!$D$13,0,(('SN2'!$C$10-0.2*Lookup!$D$13)^2/('SN2'!$C$10+0.8*Lookup!$D$13)))*$D$15+IF($C$10&lt;0.2*Lookup!$D$14,0,(('SN2'!$C$10-0.2*Lookup!$D$14)^2/('SN2'!$C$10+0.8*Lookup!$D$14)))*$D$16+IF($C$10&lt;0.2*Lookup!$D$15,0,(('SN2'!$C$10-0.2*Lookup!$D$15)^2/('SN2'!$C$10+0.8*Lookup!$D$15)))*$D$17+IF($C$10&lt;0.2*Lookup!$D$17,0,(('SN2'!$C$10-0.2*Lookup!$D$17)^2/('SN2'!$C$10+0.8*Lookup!$D$17)))*$D$18+IF($C$10&lt;0.2*Lookup!$E$13,0,(('SN2'!$C$10-0.2*Lookup!$E$13)^2/('SN2'!$C$10+0.8*Lookup!$E$13)))*$E$15+IF($C$10&lt;0.2*Lookup!$E$14,0,(('SN2'!$C$10-0.2*Lookup!$E$14)^2/('SN2'!$C$10+0.8*Lookup!$E$14)))*$E$16+IF($C$10&lt;0.2*Lookup!$E$15,0,(('SN2'!$C$10-0.2*Lookup!$E$15)^2/('SN2'!$C$10+0.8*Lookup!$E$15)))*$E$17+IF($C$10&lt;0.2*Lookup!$E$17,0,(('SN2'!$C$10-0.2*Lookup!$E$17)^2/('SN2'!$C$10+0.8*Lookup!$E$17)))*$E$18)/12</f>
        <v>8.1091134906153065E-2</v>
      </c>
      <c r="E44" s="265">
        <f>(IF($D$10&lt;0.2*Lookup!$B$13,0,(('SN2'!$D$10-0.2*Lookup!$B$13)^2/('SN2'!$D$10+0.8*Lookup!$B$13)))*$B$15+IF($D$10&lt;0.2*Lookup!$B$14,0,(('SN2'!$D$10-0.2*Lookup!$B$14)^2/('SN2'!$D$10+0.8*Lookup!$B$14)))*$B$16+IF($D$10&lt;0.2*Lookup!$B$15,0,(('SN2'!$D$10-0.2*Lookup!$B$15)^2/('SN2'!$D$10+0.8*Lookup!$B$15)))*$B$17++IF($D$10&lt;0.2*Lookup!$B$17,0,(('SN2'!$D$10-0.2*Lookup!$B$17)^2/('SN2'!$D$10+0.8*Lookup!$B$17)))*$B$18+IF($D$10&lt;0.2*Lookup!$C$13,0,(('SN2'!$D$10-0.2*Lookup!$C$13)^2/('SN2'!C$10+0.8*Lookup!$C$13)))*$C$15+IF($D$10&lt;0.2*Lookup!$C$14,0,(('SN2'!$D$10-0.2*Lookup!$C$14)^2/('SN2'!$D$10+0.8*Lookup!$C$14)))*$C$16+IF($D$10&lt;0.2*Lookup!$C$15,0,(('SN2'!$D$10-0.2*Lookup!$C$15)^2/('SN2'!$D$10+0.8*Lookup!$C$15)))*$C$17+IF($D$10&lt;0.2*Lookup!$C$17,0,(('SN2'!$D$10-0.2*Lookup!$C$17)^2/('SN2'!$D$10+0.8*Lookup!$C$17)))*$C$18+IF($D$10&lt;0.2*Lookup!$D$13,0,(('SN2'!$D$10-0.2*Lookup!$D$13)^2/('SN2'!$D$10+0.8*Lookup!$D$13)))*$D$15+IF($D$10&lt;0.2*Lookup!$D$14,0,(('SN2'!$D$10-0.2*Lookup!$D$14)^2/('SN2'!$D$10+0.8*Lookup!$D$14)))*$D$16+IF($D$10&lt;0.2*Lookup!$D$15,0,(('SN2'!$D$10-0.2*Lookup!$D$15)^2/('SN2'!$D$10+0.8*Lookup!$D$15)))*$D$17+IF($D$10&lt;0.2*Lookup!$D$17,0,(('SN2'!$D$10-0.2*Lookup!$D$17)^2/('SN2'!$D$10+0.8*Lookup!$D$17)))*$D$18+IF($D$10&lt;0.2*Lookup!$E$13,0,(('SN2'!$D$10-0.2*Lookup!$E$13)^2/('SN2'!$D$10+0.8*Lookup!$E$13)))*$E$15+IF($D$10&lt;0.2*Lookup!$E$14,0,(('SN2'!$D$10-0.2*Lookup!$E$14)^2/('SN2'!$D$10+0.8*Lookup!$E$14)))*$E$16+IF($D$10&lt;0.2*Lookup!$E$15,0,(('SN2'!$D$10-0.2*Lookup!$E$15)^2/('SN2'!$D$10+0.8*Lookup!$E$15)))*$E$17++IF($D$10&lt;0.2*Lookup!$E$17,0,(('SN2'!$D$10-0.2*Lookup!$E$17)^2/('SN2'!$D$10+0.8*Lookup!$E$17)))*$E$18)/12</f>
        <v>0.30108651143707554</v>
      </c>
      <c r="F44" s="265">
        <f>(IF($E$10&lt;0.2*Lookup!$B$13,0,(('SN2'!$E$10-0.2*Lookup!$B$13)^2/('SN2'!$E$10+0.8*Lookup!$B$13)))*$B$15+IF($E$10&lt;0.2*Lookup!$B$14,0,(('SN2'!$E$10-0.2*Lookup!$B$14)^2/('SN2'!$E$10+0.8*Lookup!$B$14)))*$B$16+IF($E$10&lt;0.2*Lookup!$B$15,0,(('SN2'!$E$10-0.2*Lookup!$B$15)^2/('SN2'!$E$10+0.8*Lookup!$B$15)))*$B$17++IF($E$10&lt;0.2*Lookup!$B$17,0,(('SN2'!$E$10-0.2*Lookup!$B$17)^2/('SN2'!$E$10+0.8*Lookup!$B$17)))*$B$18+IF($E$10&lt;0.2*Lookup!$C$13,0,(('SN2'!$E$10-0.2*Lookup!$C$13)^2/('SN2'!C$10+0.8*Lookup!$C$13)))*$C$15+IF($E$10&lt;0.2*Lookup!$C$14,0,(('SN2'!$E$10-0.2*Lookup!$C$14)^2/('SN2'!$E$10+0.8*Lookup!$C$14)))*$C$16+IF($E$10&lt;0.2*Lookup!$C$15,0,(('SN2'!$E$10-0.2*Lookup!$C$15)^2/('SN2'!$E$10+0.8*Lookup!$C$15)))*$C$17+IF($E$10&lt;0.2*Lookup!$C$17,0,(('SN2'!$E$10-0.2*Lookup!$C$17)^2/('SN2'!$E$10+0.8*Lookup!$C$17)))*$C$18+IF($E$10&lt;0.2*Lookup!$D$13,0,(('SN2'!$E$10-0.2*Lookup!$D$13)^2/('SN2'!$E$10+0.8*Lookup!$D$13)))*$D$15+IF($E$10&lt;0.2*Lookup!$D$14,0,(('SN2'!$E$10-0.2*Lookup!$D$14)^2/('SN2'!$E$10+0.8*Lookup!$D$14)))*$D$16+IF($E$10&lt;0.2*Lookup!$D$15,0,(('SN2'!$E$10-0.2*Lookup!$D$15)^2/('SN2'!$E$10+0.8*Lookup!$D$15)))*$D$17+IF($E$10&lt;0.2*Lookup!$D$17,0,(('SN2'!$E$10-0.2*Lookup!$D$17)^2/('SN2'!$E$10+0.8*Lookup!$D$17)))*$D$18+IF($E$10&lt;0.2*Lookup!$E$13,0,(('SN2'!$E$10-0.2*Lookup!$E$13)^2/('SN2'!$E$10+0.8*Lookup!$E$13)))*$E$15+IF($E$10&lt;0.2*Lookup!$E$14,0,(('SN2'!$E$10-0.2*Lookup!$E$14)^2/('SN2'!$E$10+0.8*Lookup!$E$14)))*$E$16+IF($E$10&lt;0.2*Lookup!$E$15,0,(('SN2'!$E$10-0.2*Lookup!$E$15)^2/('SN2'!$E$10+0.8*Lookup!$E$15)))*$E$17++IF($E$10&lt;0.2*Lookup!$E$17,0,(('SN2'!$E$10-0.2*Lookup!$E$17)^2/('SN2'!$E$10+0.8*Lookup!$E$17)))*$E$18)/12</f>
        <v>0.63369362225429271</v>
      </c>
      <c r="G44" s="60"/>
      <c r="K44" s="13"/>
      <c r="L44" s="6"/>
      <c r="M44" s="13"/>
      <c r="N44" s="13"/>
      <c r="O44" s="13"/>
    </row>
    <row r="45" spans="1:15" ht="14.4" customHeight="1" x14ac:dyDescent="0.3">
      <c r="A45" s="399" t="s">
        <v>113</v>
      </c>
      <c r="B45" s="386"/>
      <c r="C45" s="400"/>
      <c r="D45" s="265">
        <f>(IF($C$10&lt;0.2*Lookup!$B$13,0,(('SN2'!$C$10-0.2*Lookup!$B$13)^2/('SN2'!$C$10+0.8*Lookup!$B$13)))*$B$24+IF($C$10&lt;0.2*Lookup!$B$14,0,(('SN2'!$C$10-0.2*Lookup!$B$14)^2/('SN2'!$C$10+0.8*Lookup!$B$14)))*$B$25+IF($C$10&lt;0.2*Lookup!$B$15,0,(('SN2'!$C$10-0.2*Lookup!$B$15)^2/('SN2'!$C$10+0.8*Lookup!$B$15)))*$B$26+IF($C$10&lt;0.2*Lookup!$C$13,0,(('SN2'!$C$10-0.2*Lookup!$C$13)^2/('SN2'!C$10+0.8*Lookup!$C$13)))*$C$24+IF($C$10&lt;0.2*Lookup!$C$14,0,(('SN2'!$C$10-0.2*Lookup!$C$14)^2/('SN2'!$C$10+0.8*Lookup!$C$14)))*$C$25+IF($C$10&lt;0.2*Lookup!$C$15,0,(('SN2'!$C$10-0.2*Lookup!$C$15)^2/('SN2'!$C$10+0.8*Lookup!$C$15)))*$C$26+IF($C$10&lt;0.2*Lookup!$D$13,0,(('SN2'!$C$10-0.2*Lookup!$D$13)^2/('SN2'!$C$10+0.8*Lookup!$D$13)))*$D$24+IF($C$10&lt;0.2*Lookup!$D$14,0,(('SN2'!$C$10-0.2*Lookup!$D$14)^2/('SN2'!$C$10+0.8*Lookup!$D$14)))*$D$25+IF($C$10&lt;0.2*Lookup!$D$15,0,(('SN2'!$C$10-0.2*Lookup!$D$15)^2/('SN2'!$C$10+0.8*Lookup!$D$15)))*$D$26+IF($C$10&lt;0.2*Lookup!$E$13,0,(('SN2'!$C$10-0.2*Lookup!$E$13)^2/('SN2'!$C$10+0.8*Lookup!$E$13)))*$E$24+IF($C$10&lt;0.2*Lookup!$E$14,0,(('SN2'!$C$10-0.2*Lookup!$E$14)^2/('SN2'!$C$10+0.8*Lookup!$E$14)))*$E$25+IF($C$10&lt;0.2*Lookup!$E$15,0,(('SN2'!$C$10-0.2*Lookup!$E$15)^2/('SN2'!$C$10+0.8*Lookup!$E$15)))*$E$26+(($C$10-0.2*Lookup!B17)^2/($C$10+0.8*Lookup!B17)*(F27+F28+F29+F30)))/12</f>
        <v>0.15044412557070508</v>
      </c>
      <c r="E45" s="265">
        <f>(IF($D$10&lt;0.2*Lookup!$B$13,0,(('SN2'!$D$10-0.2*Lookup!$B$13)^2/('SN2'!$D$10+0.8*Lookup!$B$13)))*$B$24+IF($D$10&lt;0.2*Lookup!$B$14,0,(('SN2'!$D$10-0.2*Lookup!$B$14)^2/('SN2'!$D$10+0.8*Lookup!$B$14)))*$B$25+IF($D$10&lt;0.2*Lookup!$B$15,0,(('SN2'!$D$10-0.2*Lookup!$B$15)^2/('SN2'!$D$10+0.8*Lookup!$B$15)))*$B$26+IF($D$10&lt;0.2*Lookup!$C$13,0,(('SN2'!$D$10-0.2*Lookup!$C$13)^2/('SN2'!C$10+0.8*Lookup!$C$13)))*$C$24+IF($D$10&lt;0.2*Lookup!$C$14,0,(('SN2'!$D$10-0.2*Lookup!$C$14)^2/('SN2'!$D$10+0.8*Lookup!$C$14)))*$C$25+IF($D$10&lt;0.2*Lookup!$C$15,0,(('SN2'!$D$10-0.2*Lookup!$C$15)^2/('SN2'!$D$10+0.8*Lookup!$C$15)))*$C$26+IF($D$10&lt;0.2*Lookup!$D$13,0,(('SN2'!$D$10-0.2*Lookup!$D$13)^2/('SN2'!$D$10+0.8*Lookup!$D$13)))*$D$24+IF($D$10&lt;0.2*Lookup!$D$14,0,(('SN2'!$D$10-0.2*Lookup!$D$14)^2/('SN2'!$D$10+0.8*Lookup!$D$14)))*$D$25+IF($D$10&lt;0.2*Lookup!$D$15,0,(('SN2'!$D$10-0.2*Lookup!$D$15)^2/('SN2'!$D$10+0.8*Lookup!$D$15)))*$D$26+IF($D$10&lt;0.2*Lookup!$E$13,0,(('SN2'!$D$10-0.2*Lookup!$E$13)^2/('SN2'!$D$10+0.8*Lookup!$E$13)))*$E$24+IF($D$10&lt;0.2*Lookup!$E$14,0,(('SN2'!$D$10-0.2*Lookup!$E$14)^2/('SN2'!$D$10+0.8*Lookup!$E$14)))*$E$25+IF($D$10&lt;0.2*Lookup!$E$15,0,(('SN2'!$D$10-0.2*Lookup!$E$15)^2/('SN2'!$D$10+0.8*Lookup!$E$15)))*$E$26+(($D$10-0.2*Lookup!B17)^2/($D$10+0.8*Lookup!B17)*(F27+F28+F29+F30)))/12</f>
        <v>0.41076097624446978</v>
      </c>
      <c r="F45" s="265">
        <f>(IF($E$10&lt;0.2*Lookup!$B$13,0,(('SN2'!$E$10-0.2*Lookup!$B$13)^2/('SN2'!$E$10+0.8*Lookup!$B$13)))*$B$24+IF($E$10&lt;0.2*Lookup!$B$14,0,(('SN2'!$E$10-0.2*Lookup!$B$14)^2/('SN2'!$E$10+0.8*Lookup!$B$14)))*$B$25+IF($E$10&lt;0.2*Lookup!$B$15,0,(('SN2'!$E$10-0.2*Lookup!$B$15)^2/('SN2'!$E$10+0.8*Lookup!$B$15)))*$B$26+IF($E$10&lt;0.2*Lookup!$C$13,0,(('SN2'!$E$10-0.2*Lookup!$C$13)^2/('SN2'!C$10+0.8*Lookup!$C$13)))*$C$24+IF($E$10&lt;0.2*Lookup!$C$14,0,(('SN2'!$E$10-0.2*Lookup!$C$14)^2/('SN2'!$E$10+0.8*Lookup!$C$14)))*$C$25+IF($E$10&lt;0.2*Lookup!$C$15,0,(('SN2'!$E$10-0.2*Lookup!$C$15)^2/('SN2'!$E$10+0.8*Lookup!$C$15)))*$C$26+IF($E$10&lt;0.2*Lookup!$D$13,0,(('SN2'!$E$10-0.2*Lookup!$D$13)^2/('SN2'!$E$10+0.8*Lookup!$D$13)))*$D$24+IF($E$10&lt;0.2*Lookup!$D$14,0,(('SN2'!$E$10-0.2*Lookup!$D$14)^2/('SN2'!$E$10+0.8*Lookup!$D$14)))*$D$25+IF($E$10&lt;0.2*Lookup!$D$15,0,(('SN2'!$E$10-0.2*Lookup!$D$15)^2/('SN2'!$E$10+0.8*Lookup!$D$15)))*$D$26+IF($E$10&lt;0.2*Lookup!$E$13,0,(('SN2'!$E$10-0.2*Lookup!$E$13)^2/('SN2'!$E$10+0.8*Lookup!$E$13)))*$E$24+IF($E$10&lt;0.2*Lookup!$E$14,0,(('SN2'!$E$10-0.2*Lookup!$E$14)^2/('SN2'!$E$10+0.8*Lookup!$E$14)))*$E$25+IF($E$10&lt;0.2*Lookup!$E$15,0,(('SN2'!$E$10-0.2*Lookup!$E$15)^2/('SN2'!$E$10+0.8*Lookup!$E$15)))*$E$26+(($E$10-0.2*Lookup!B17)^2/($E$10+0.8*Lookup!B17)*(F27+F28+F29+F30)))/12</f>
        <v>0.77341852290232416</v>
      </c>
      <c r="G45" s="60"/>
      <c r="K45" s="13"/>
      <c r="L45" s="6"/>
      <c r="M45" s="13"/>
      <c r="N45" s="13"/>
      <c r="O45" s="13"/>
    </row>
    <row r="46" spans="1:15" ht="15.6" customHeight="1" thickBot="1" x14ac:dyDescent="0.35">
      <c r="A46" s="16"/>
      <c r="B46" s="89"/>
      <c r="C46" s="92"/>
      <c r="D46" s="93"/>
      <c r="E46" s="89"/>
      <c r="F46" s="89"/>
      <c r="G46" s="70"/>
      <c r="K46" s="13"/>
      <c r="L46" s="6"/>
      <c r="M46" s="13"/>
      <c r="N46" s="13"/>
      <c r="O46" s="13"/>
    </row>
    <row r="47" spans="1:15" ht="15.6" x14ac:dyDescent="0.3">
      <c r="A47" s="56" t="s">
        <v>64</v>
      </c>
      <c r="B47" s="85"/>
      <c r="C47" s="86"/>
      <c r="D47" s="87"/>
      <c r="E47" s="85"/>
      <c r="F47" s="85"/>
      <c r="G47" s="58"/>
      <c r="K47" s="13"/>
      <c r="L47" s="6"/>
      <c r="M47" s="13"/>
      <c r="N47" s="13"/>
      <c r="O47" s="13"/>
    </row>
    <row r="48" spans="1:15" ht="44.4" customHeight="1" x14ac:dyDescent="0.3">
      <c r="A48" s="394" t="s">
        <v>214</v>
      </c>
      <c r="B48" s="395"/>
      <c r="C48" s="395"/>
      <c r="D48" s="395"/>
      <c r="E48" s="395"/>
      <c r="F48" s="395"/>
      <c r="G48" s="396"/>
      <c r="K48" s="13"/>
      <c r="L48" s="6"/>
      <c r="M48" s="13"/>
      <c r="N48" s="13"/>
      <c r="O48" s="13"/>
    </row>
    <row r="49" spans="1:15" ht="15.6" x14ac:dyDescent="0.35">
      <c r="A49" s="88" t="s">
        <v>71</v>
      </c>
      <c r="B49" s="117" t="s">
        <v>166</v>
      </c>
      <c r="C49" s="409" t="s">
        <v>71</v>
      </c>
      <c r="D49" s="410"/>
      <c r="E49" s="42" t="s">
        <v>166</v>
      </c>
      <c r="F49" s="19"/>
      <c r="G49" s="60"/>
      <c r="K49" s="13"/>
      <c r="L49" s="6"/>
      <c r="M49" s="13"/>
      <c r="N49" s="13"/>
      <c r="O49" s="13"/>
    </row>
    <row r="50" spans="1:15" x14ac:dyDescent="0.3">
      <c r="A50" s="195" t="s">
        <v>208</v>
      </c>
      <c r="B50" s="172">
        <v>2E-3</v>
      </c>
      <c r="C50" s="351"/>
      <c r="D50" s="352"/>
      <c r="E50" s="173"/>
      <c r="F50" s="13"/>
      <c r="G50" s="60"/>
      <c r="I50" s="113"/>
      <c r="J50" s="113"/>
      <c r="K50" s="113"/>
      <c r="L50" s="6"/>
      <c r="M50" s="13"/>
      <c r="N50" s="13"/>
      <c r="O50" s="13"/>
    </row>
    <row r="51" spans="1:15" x14ac:dyDescent="0.3">
      <c r="A51" s="195" t="s">
        <v>207</v>
      </c>
      <c r="B51" s="172">
        <v>3.3000000000000002E-2</v>
      </c>
      <c r="C51" s="351"/>
      <c r="D51" s="352"/>
      <c r="E51" s="173"/>
      <c r="F51" s="13"/>
      <c r="G51" s="60"/>
      <c r="I51" s="113"/>
      <c r="J51" s="113"/>
      <c r="K51" s="113"/>
      <c r="L51" s="6"/>
      <c r="M51" s="13"/>
      <c r="N51" s="13"/>
      <c r="O51" s="13"/>
    </row>
    <row r="52" spans="1:15" x14ac:dyDescent="0.3">
      <c r="A52" s="195" t="s">
        <v>66</v>
      </c>
      <c r="B52" s="172">
        <v>5.0000000000000001E-3</v>
      </c>
      <c r="C52" s="351"/>
      <c r="D52" s="352"/>
      <c r="E52" s="173"/>
      <c r="F52" s="13"/>
      <c r="G52" s="60"/>
      <c r="I52" s="113"/>
      <c r="J52" s="113"/>
      <c r="K52" s="113"/>
      <c r="L52" s="6"/>
      <c r="M52" s="13"/>
      <c r="N52" s="13"/>
      <c r="O52" s="13"/>
    </row>
    <row r="53" spans="1:15" x14ac:dyDescent="0.3">
      <c r="A53" s="195"/>
      <c r="B53" s="172"/>
      <c r="C53" s="351"/>
      <c r="D53" s="352"/>
      <c r="E53" s="173"/>
      <c r="F53" s="19"/>
      <c r="G53" s="60"/>
      <c r="K53" s="13"/>
      <c r="L53" s="6"/>
      <c r="M53" s="13"/>
      <c r="N53" s="13"/>
      <c r="O53" s="13"/>
    </row>
    <row r="54" spans="1:15" x14ac:dyDescent="0.3">
      <c r="A54" s="195"/>
      <c r="B54" s="172"/>
      <c r="C54" s="351"/>
      <c r="D54" s="352"/>
      <c r="E54" s="173"/>
      <c r="F54" s="19"/>
      <c r="G54" s="60"/>
      <c r="K54" s="13"/>
      <c r="L54" s="6"/>
      <c r="M54" s="13"/>
      <c r="N54" s="13"/>
      <c r="O54" s="13"/>
    </row>
    <row r="55" spans="1:15" ht="13.8" customHeight="1" thickBot="1" x14ac:dyDescent="0.35">
      <c r="A55" s="16"/>
      <c r="B55" s="89"/>
      <c r="C55" s="90"/>
      <c r="D55" s="90"/>
      <c r="E55" s="89"/>
      <c r="F55" s="89"/>
      <c r="G55" s="70"/>
      <c r="K55" s="13"/>
      <c r="L55" s="6"/>
      <c r="M55" s="13"/>
      <c r="N55" s="13"/>
      <c r="O55" s="13"/>
    </row>
    <row r="56" spans="1:15" ht="15.6" x14ac:dyDescent="0.3">
      <c r="A56" s="77" t="s">
        <v>109</v>
      </c>
      <c r="B56" s="78"/>
      <c r="C56" s="78"/>
      <c r="D56" s="79"/>
      <c r="E56" s="79"/>
      <c r="F56" s="79"/>
      <c r="G56" s="58"/>
      <c r="K56" s="13"/>
      <c r="L56" s="6"/>
      <c r="M56" s="13"/>
      <c r="N56" s="13"/>
      <c r="O56" s="13"/>
    </row>
    <row r="57" spans="1:15" ht="15.6" x14ac:dyDescent="0.3">
      <c r="A57" s="80" t="s">
        <v>33</v>
      </c>
      <c r="B57" s="47" t="s">
        <v>73</v>
      </c>
      <c r="C57" s="47" t="s">
        <v>74</v>
      </c>
      <c r="D57" s="48" t="s">
        <v>75</v>
      </c>
      <c r="E57" s="48" t="s">
        <v>120</v>
      </c>
      <c r="F57" s="48" t="s">
        <v>121</v>
      </c>
      <c r="G57" s="60"/>
      <c r="K57" s="13"/>
      <c r="L57" s="6"/>
      <c r="M57" s="13"/>
      <c r="N57" s="13"/>
      <c r="O57" s="13"/>
    </row>
    <row r="58" spans="1:15" ht="15.6" x14ac:dyDescent="0.3">
      <c r="A58" s="61" t="s">
        <v>118</v>
      </c>
      <c r="B58" s="266">
        <f>B69</f>
        <v>0</v>
      </c>
      <c r="C58" s="267">
        <f>B77</f>
        <v>3.9416666666666676E-2</v>
      </c>
      <c r="D58" s="266">
        <f>D45-D44+(C10-0.2*Lookup!$B$17)^2/(C10+0.8*Lookup!$B$17)*$F$28/12-IF(C10-0.2*Lookup!$B$15&lt;0,0,(C10-0.2*Lookup!$B$15)^2/(C10+0.8*Lookup!$B$15))*$B$28/12-IF(C10-0.2*Lookup!$C$15&lt;0,0,(C10-0.2*Lookup!$C$15)^2/(C10+0.8*Lookup!$C$15))*$C$28/12-IF(C10-0.2*Lookup!$D$15&lt;0,0,(C10-0.2*Lookup!$D$15)^2/(C10+0.8*Lookup!$D$15))*$D$28/12-IF(C10-0.2*Lookup!$E$15&lt;0,0,(C10-0.2*Lookup!$E$15)^2/(C10+0.8*Lookup!$E$15)*$E$28)/12</f>
        <v>6.9352990664552014E-2</v>
      </c>
      <c r="E58" s="266">
        <f>E45-E44+(D10-0.2*Lookup!$B$17)^2/(D10+0.8*Lookup!$B$17)*$F$28/12-IF(D10-0.2*Lookup!$B$15&lt;0,0,(D10-0.2*Lookup!$B$15)^2/(D10+0.8*Lookup!$B$15))*$B$28/12-IF(D10-0.2*Lookup!$C$15&lt;0,0,(D10-0.2*Lookup!$C$15)^2/(D10+0.8*Lookup!$C$15))*$C$28/12-IF(D10-0.2*Lookup!$D$15&lt;0,0,(D10-0.2*Lookup!$D$15)^2/(D10+0.8*Lookup!$D$15))*$D$28/12-IF(D10-0.2*Lookup!$E$15&lt;0,0,(D10-0.2*Lookup!$E$15)^2/(D10+0.8*Lookup!$E$15)*$E$28)/12</f>
        <v>0.10967446480739423</v>
      </c>
      <c r="F58" s="266">
        <f>F45-F44+(E10-0.2*Lookup!$B$17)^2/(E10+0.8*Lookup!$B$17)*$F$28/12-IF(E10-0.2*Lookup!$B$15&lt;0,0,(E10-0.2*Lookup!$B$15)^2/(E10+0.8*Lookup!$B$15))*$B$28/12-IF(E10-0.2*Lookup!$C$15&lt;0,0,(E10-0.2*Lookup!$C$15)^2/(E10+0.8*Lookup!$C$15))*$C$28/12-IF(E10-0.2*Lookup!$D$15&lt;0,0,(E10-0.2*Lookup!$D$15)^2/(E10+0.8*Lookup!$D$15))*$D$28/12-IF(E10-0.2*Lookup!$E$15&lt;0,0,(E10-0.2*Lookup!$E$15)^2/(E10+0.8*Lookup!$E$15)*$E$28)/12</f>
        <v>0.13972490064803145</v>
      </c>
      <c r="G58" s="60"/>
      <c r="K58" s="13"/>
      <c r="L58" s="13"/>
      <c r="M58" s="13"/>
      <c r="N58" s="13"/>
      <c r="O58" s="13"/>
    </row>
    <row r="59" spans="1:15" ht="15.6" x14ac:dyDescent="0.3">
      <c r="A59" s="61" t="s">
        <v>72</v>
      </c>
      <c r="B59" s="268">
        <f ca="1">SUM($B$50:$B$54,$E$50:$E$54)-(SUMIF(A50:A54,"Green Roofs",B50:B54)+SUMIF(C50:D54,"Green Roofs",E50:E54))</f>
        <v>0.04</v>
      </c>
      <c r="C59" s="268">
        <f ca="1">SUM($B$50:$B$54,$E$50:$E$54)-(SUMIF(A50:A54,"Green Roofs",B50:B54)+SUMIF(C50:D54,"Green Roofs",E50:E54))</f>
        <v>0.04</v>
      </c>
      <c r="D59" s="268">
        <f>SUM($B$50:$B$54,$E$50:$E$54)</f>
        <v>0.04</v>
      </c>
      <c r="E59" s="268">
        <f t="shared" ref="E59:F59" si="1">SUM($B$50:$B$54,$E$50:$E$54)</f>
        <v>0.04</v>
      </c>
      <c r="F59" s="268">
        <f t="shared" si="1"/>
        <v>0.04</v>
      </c>
      <c r="G59" s="60"/>
      <c r="K59" s="24"/>
      <c r="L59" s="13"/>
      <c r="M59" s="13"/>
      <c r="N59" s="13"/>
      <c r="O59" s="13"/>
    </row>
    <row r="60" spans="1:15" ht="15.6" x14ac:dyDescent="0.3">
      <c r="A60" s="81" t="s">
        <v>119</v>
      </c>
      <c r="B60" s="268">
        <f ca="1">IF((B58-B59)&gt;0,B58-B59,0)</f>
        <v>0</v>
      </c>
      <c r="C60" s="268">
        <f ca="1">IF((C58-C59)&gt;0,C58-C59,0)</f>
        <v>0</v>
      </c>
      <c r="D60" s="268">
        <f>IF((D58-D59)&gt;0,D58-D59,0)</f>
        <v>2.9352990664552013E-2</v>
      </c>
      <c r="E60" s="268">
        <f>IF((E58-E59)&gt;0,E58-E59,0)</f>
        <v>6.9674464807394226E-2</v>
      </c>
      <c r="F60" s="268">
        <f>IF((F58-F59)&gt;0,F58-F59,0)</f>
        <v>9.9724900648031439E-2</v>
      </c>
      <c r="G60" s="60"/>
      <c r="K60" s="13"/>
      <c r="L60" s="13"/>
      <c r="M60" s="13"/>
      <c r="N60" s="13"/>
      <c r="O60" s="13"/>
    </row>
    <row r="61" spans="1:15" x14ac:dyDescent="0.3">
      <c r="A61" s="59" t="s">
        <v>44</v>
      </c>
      <c r="B61" s="27" t="str">
        <f>IF(B58=0,"n/a",IF(ROUND(B60,4)=0,"Yes","No"))</f>
        <v>n/a</v>
      </c>
      <c r="C61" s="27" t="str">
        <f ca="1">IF(ROUND(C60,4)=0,"Yes", "No")</f>
        <v>Yes</v>
      </c>
      <c r="D61" s="27" t="str">
        <f>IF(ROUND(D60,4)=0,"Yes", "No")</f>
        <v>No</v>
      </c>
      <c r="E61" s="27" t="str">
        <f>IF(ROUND(E60,4)=0,"Yes", "No")</f>
        <v>No</v>
      </c>
      <c r="F61" s="27" t="str">
        <f>IF(ROUND(F60,4)=0,"Yes", "No")</f>
        <v>No</v>
      </c>
      <c r="G61" s="60"/>
      <c r="H61" s="43"/>
      <c r="K61" s="13"/>
      <c r="L61" s="13"/>
      <c r="M61" s="13"/>
      <c r="N61" s="13"/>
      <c r="O61" s="13"/>
    </row>
    <row r="62" spans="1:15" x14ac:dyDescent="0.3">
      <c r="A62" s="59"/>
      <c r="B62" s="25"/>
      <c r="C62" s="25"/>
      <c r="D62" s="25"/>
      <c r="E62" s="25"/>
      <c r="F62" s="25"/>
      <c r="G62" s="60"/>
      <c r="K62" s="13"/>
      <c r="L62" s="13"/>
      <c r="M62" s="13"/>
      <c r="N62" s="13"/>
      <c r="O62" s="13"/>
    </row>
    <row r="63" spans="1:15" ht="15.6" x14ac:dyDescent="0.3">
      <c r="A63" s="110" t="s">
        <v>43</v>
      </c>
      <c r="B63" s="29" t="s">
        <v>34</v>
      </c>
      <c r="C63" s="28">
        <f>IF(F32=0,"n/a",200/((2+B10+C58*(24/F32))-(5*B10*C58*(12/F32)+4*(C58*(12/F32))^2)^(1/2)))</f>
        <v>85.85149825661037</v>
      </c>
      <c r="D63" s="28">
        <f>IF(F32=0,"n/a",200/((2+C10+D45*(24/F32))-(5*C10*D45*(12/F32)+4*(D45*(12/F32))^2)^(1/2)))</f>
        <v>81.103786109052052</v>
      </c>
      <c r="E63" s="28">
        <f>IF(F32=0,"n/a",200/((2+D10+E45*(24/F32))-(5*D10*E45*(12/F32)+4*(E45*(12/F32))^2)^(1/2)))</f>
        <v>79.831409061604461</v>
      </c>
      <c r="F63" s="28">
        <f>IF(F32=0,"n/a",200/((2+E10+F45*(24/F32))-(5*E10*F45*(12/F32)+4*(F45*(12/F32))^2)^(1/2)))</f>
        <v>79.250900898278132</v>
      </c>
      <c r="G63" s="60"/>
      <c r="K63" s="24"/>
      <c r="L63" s="13"/>
      <c r="M63" s="13"/>
      <c r="N63" s="13"/>
      <c r="O63" s="13"/>
    </row>
    <row r="64" spans="1:15" ht="16.2" x14ac:dyDescent="0.35">
      <c r="A64" s="111" t="s">
        <v>42</v>
      </c>
      <c r="B64" s="30" t="s">
        <v>34</v>
      </c>
      <c r="C64" s="26" t="str">
        <f ca="1">IF(F32=0,"n/a",IF(B59&gt;C58,"n/a",200/(2+B10+((C58-$B$59)*24/F32)-SQRT(5*B10*(C58-$B$59)*12/F32+4*((C58-$B$59)*12/F32)^2))))</f>
        <v>n/a</v>
      </c>
      <c r="D64" s="26">
        <f ca="1">IF(F32=0,"n/a",IF(D59&gt;D45,0,200/(2+C10+((D45-$B$59)*24/F32)-SQRT(5*C10*(D45-$B$59)*12/F32+4*((D45-$B$59)*12/F32)^2))))</f>
        <v>76.585574610299091</v>
      </c>
      <c r="E64" s="26">
        <f ca="1">IF(F32=0,"n/a",IF(E59&gt;E45,0,200/(2+D10+((E45-$B$59)*24/F32)-SQRT(5*D10*(E45-$B$59)*12/F32+4*((E45-$B$59)*12/F32)^2))))</f>
        <v>77.259616938417437</v>
      </c>
      <c r="F64" s="26">
        <f ca="1">IF(F32=0,"n/a",IF(F59&gt;F45,0,200/(2+E10+((F45-$B$59)*24/F32)-SQRT(5*E10*(F45-$B$59)*12/F32+4*((F45-$B$59)*12/F32)^2))))</f>
        <v>77.314642650364078</v>
      </c>
      <c r="G64" s="60"/>
      <c r="K64" s="24"/>
      <c r="L64" s="6"/>
      <c r="M64" s="13"/>
      <c r="N64" s="13"/>
      <c r="O64" s="13"/>
    </row>
    <row r="65" spans="1:15" ht="15.6" x14ac:dyDescent="0.3">
      <c r="A65" s="112" t="s">
        <v>36</v>
      </c>
      <c r="B65" s="82" t="s">
        <v>34</v>
      </c>
      <c r="C65" s="83" t="s">
        <v>34</v>
      </c>
      <c r="D65" s="84">
        <f>IF(F20-F19=0,"n/a",200/(C10+2*D44*12/(F20-F19)+2-SQRT(5*C10*D44*12/(F20-F19)+4*(D44*12/(F20-F19))^2)))</f>
        <v>72.558612828792107</v>
      </c>
      <c r="E65" s="84">
        <f>IF((F20-F19)=0,"n/a",200/(D10+2*E44*12/(F20-F19)+2-SQRT(5*D10*E44*12/(F20-F19)+4*(E44*12/(F20-F19))^2)))</f>
        <v>72.414595839271911</v>
      </c>
      <c r="F65" s="84">
        <f>IF((F20-F19)=0,"n/a",200/(E10+2*F44*12/(F20-F19)+2-SQRT(5*E10*F44*12/(F20-F19)+4*(F44*12/(F20-F19))^2)))</f>
        <v>72.343485317370181</v>
      </c>
      <c r="G65" s="60"/>
      <c r="K65" s="24"/>
      <c r="L65" s="6"/>
      <c r="M65" s="13"/>
      <c r="N65" s="13"/>
      <c r="O65" s="13"/>
    </row>
    <row r="66" spans="1:15" ht="16.2" thickBot="1" x14ac:dyDescent="0.35">
      <c r="A66" s="16"/>
      <c r="B66" s="17"/>
      <c r="C66" s="17"/>
      <c r="D66" s="17"/>
      <c r="E66" s="17"/>
      <c r="F66" s="17"/>
      <c r="G66" s="70"/>
      <c r="K66" s="24"/>
      <c r="L66" s="13"/>
      <c r="M66" s="13"/>
      <c r="N66" s="13"/>
      <c r="O66" s="13"/>
    </row>
    <row r="67" spans="1:15" ht="15.6" x14ac:dyDescent="0.3">
      <c r="A67" s="56" t="s">
        <v>76</v>
      </c>
      <c r="B67" s="57"/>
      <c r="C67" s="57"/>
      <c r="D67" s="57"/>
      <c r="E67" s="57"/>
      <c r="F67" s="178">
        <v>2</v>
      </c>
      <c r="G67" s="58"/>
      <c r="K67" s="24"/>
      <c r="L67" s="6"/>
      <c r="M67" s="13"/>
      <c r="N67" s="13"/>
      <c r="O67" s="13"/>
    </row>
    <row r="68" spans="1:15" ht="30.6" customHeight="1" x14ac:dyDescent="0.3">
      <c r="A68" s="59" t="s">
        <v>77</v>
      </c>
      <c r="B68" s="174"/>
      <c r="C68" s="386" t="str">
        <f>IF(F67=1,"","Reason recharge not required (if No is selected):")</f>
        <v>Reason recharge not required (if No is selected):</v>
      </c>
      <c r="D68" s="386"/>
      <c r="E68" s="387" t="s">
        <v>79</v>
      </c>
      <c r="F68" s="387"/>
      <c r="G68" s="60"/>
      <c r="K68" s="24"/>
      <c r="L68" s="6"/>
      <c r="M68" s="13"/>
      <c r="N68" s="13"/>
      <c r="O68" s="13"/>
    </row>
    <row r="69" spans="1:15" ht="15.6" x14ac:dyDescent="0.3">
      <c r="A69" s="59" t="s">
        <v>117</v>
      </c>
      <c r="B69" s="265">
        <f>((B27+B28)*Lookup!B21+(C27+C28)*Lookup!C21+(D27+D28)*Lookup!D21+(E27+E28)*Lookup!E21*(F27+F28))/12</f>
        <v>0</v>
      </c>
      <c r="C69" s="246"/>
      <c r="D69" s="246"/>
      <c r="E69" s="182"/>
      <c r="F69" s="182"/>
      <c r="G69" s="60"/>
      <c r="K69" s="24"/>
      <c r="L69" s="6"/>
      <c r="M69" s="13"/>
      <c r="N69" s="13"/>
      <c r="O69" s="13"/>
    </row>
    <row r="70" spans="1:15" ht="42.6" customHeight="1" x14ac:dyDescent="0.3">
      <c r="A70" s="252" t="s">
        <v>110</v>
      </c>
      <c r="B70" s="27" t="str">
        <f>B61</f>
        <v>n/a</v>
      </c>
      <c r="C70" s="388" t="str">
        <f>IF(B70="No",IF(F67=1,"NOTE: Treatment provided is insufficient to meet the recharge standard within this drainage area.  Add more infiltrating practices unless recharge is being met site-wide. (check summary tab)","Standard not applicable."),"")</f>
        <v/>
      </c>
      <c r="D70" s="389"/>
      <c r="E70" s="389"/>
      <c r="F70" s="389"/>
      <c r="G70" s="390"/>
      <c r="K70" s="24"/>
      <c r="L70" s="13"/>
      <c r="M70" s="13"/>
      <c r="N70" s="13"/>
      <c r="O70" s="13"/>
    </row>
    <row r="71" spans="1:15" ht="101.4" customHeight="1" thickBot="1" x14ac:dyDescent="0.35">
      <c r="A71" s="222" t="s">
        <v>167</v>
      </c>
      <c r="B71" s="412" t="s">
        <v>261</v>
      </c>
      <c r="C71" s="412"/>
      <c r="D71" s="412"/>
      <c r="E71" s="412"/>
      <c r="F71" s="412"/>
      <c r="G71" s="413"/>
      <c r="K71" s="24"/>
      <c r="L71" s="6"/>
      <c r="M71" s="13"/>
      <c r="N71" s="13"/>
      <c r="O71" s="13"/>
    </row>
    <row r="72" spans="1:15" ht="75" customHeight="1" thickBot="1" x14ac:dyDescent="0.35">
      <c r="A72" s="269"/>
      <c r="B72" s="270"/>
      <c r="C72" s="270"/>
      <c r="D72" s="270"/>
      <c r="E72" s="270"/>
      <c r="F72" s="270"/>
      <c r="G72" s="270"/>
      <c r="K72" s="24"/>
      <c r="L72" s="6"/>
      <c r="M72" s="13"/>
      <c r="N72" s="13"/>
      <c r="O72" s="13"/>
    </row>
    <row r="73" spans="1:15" ht="15.6" x14ac:dyDescent="0.3">
      <c r="A73" s="56" t="s">
        <v>95</v>
      </c>
      <c r="B73" s="57"/>
      <c r="C73" s="57"/>
      <c r="D73" s="57"/>
      <c r="E73" s="178">
        <v>1</v>
      </c>
      <c r="F73" s="178">
        <v>1</v>
      </c>
      <c r="G73" s="58"/>
      <c r="K73" s="24"/>
      <c r="L73" s="6"/>
      <c r="M73" s="13"/>
      <c r="N73" s="13"/>
      <c r="O73" s="13"/>
    </row>
    <row r="74" spans="1:15" ht="15" customHeight="1" x14ac:dyDescent="0.3">
      <c r="A74" s="91"/>
      <c r="B74" s="7" t="s">
        <v>233</v>
      </c>
      <c r="C74" s="13"/>
      <c r="D74" s="13"/>
      <c r="E74" s="13"/>
      <c r="F74" s="7" t="s">
        <v>236</v>
      </c>
      <c r="G74" s="60"/>
      <c r="K74" s="24"/>
      <c r="L74" s="6"/>
      <c r="M74" s="13"/>
      <c r="N74" s="13"/>
      <c r="O74" s="13"/>
    </row>
    <row r="75" spans="1:15" ht="16.2" x14ac:dyDescent="0.35">
      <c r="A75" s="67" t="s">
        <v>221</v>
      </c>
      <c r="B75" s="265">
        <f>IF(F27+F28=0,0,(0.05+0.9*(G27+G28))*1*F32/12)</f>
        <v>3.9416666666666676E-2</v>
      </c>
      <c r="C75" s="373" t="s">
        <v>235</v>
      </c>
      <c r="D75" s="374"/>
      <c r="E75" s="75">
        <f>G35</f>
        <v>0</v>
      </c>
      <c r="G75" s="60"/>
      <c r="K75" s="24"/>
      <c r="L75" s="6"/>
      <c r="M75" s="13"/>
      <c r="N75" s="13"/>
      <c r="O75" s="13"/>
    </row>
    <row r="76" spans="1:15" ht="30" customHeight="1" x14ac:dyDescent="0.3">
      <c r="A76" s="61" t="s">
        <v>222</v>
      </c>
      <c r="B76" s="265">
        <f>IF(F30=0,0,IF(F73=2,IF(E76&gt;25%,0,(0.05+0.9*G30)*1*F32/12*(50%-2*E76)),(0.05+0.9*G30)*1*F32/12*0.5))</f>
        <v>0</v>
      </c>
      <c r="C76" s="375" t="s">
        <v>234</v>
      </c>
      <c r="D76" s="376"/>
      <c r="E76" s="225">
        <f>G36</f>
        <v>0</v>
      </c>
      <c r="G76" s="226" t="str">
        <f>IF(E76="n/a","",IF(E76&gt;25%,"Max 25% applied",""))</f>
        <v/>
      </c>
      <c r="K76" s="24"/>
      <c r="L76" s="13"/>
      <c r="M76" s="13"/>
      <c r="N76" s="13"/>
      <c r="O76" s="13"/>
    </row>
    <row r="77" spans="1:15" ht="15" customHeight="1" x14ac:dyDescent="0.3">
      <c r="A77" s="59" t="s">
        <v>111</v>
      </c>
      <c r="B77" s="265">
        <f>IF(E73=2,IF(E75&lt;5%,B75+B76,(B75+B76)*(100%-E75)),B75+B76)</f>
        <v>3.9416666666666676E-2</v>
      </c>
      <c r="C77" s="377" t="str">
        <f>IF(E73+F73=4,"ERROR! Net Reduction and Redevelopment cannot both apply","")</f>
        <v/>
      </c>
      <c r="D77" s="378"/>
      <c r="E77" s="378"/>
      <c r="F77" s="378"/>
      <c r="G77" s="379"/>
      <c r="K77" s="24"/>
      <c r="L77" s="13"/>
      <c r="M77" s="13"/>
      <c r="N77" s="13"/>
      <c r="O77" s="13"/>
    </row>
    <row r="78" spans="1:15" ht="30" x14ac:dyDescent="0.3">
      <c r="A78" s="252" t="s">
        <v>204</v>
      </c>
      <c r="B78" s="306">
        <f ca="1">IF(C59&gt;C58,C58,C59)</f>
        <v>3.9416666666666676E-2</v>
      </c>
      <c r="C78" s="63"/>
      <c r="D78" s="371" t="s">
        <v>209</v>
      </c>
      <c r="E78" s="371"/>
      <c r="F78" s="185"/>
      <c r="G78" s="186">
        <v>1</v>
      </c>
      <c r="K78" s="24"/>
      <c r="L78" s="13"/>
      <c r="M78" s="13"/>
      <c r="N78" s="13"/>
      <c r="O78" s="13"/>
    </row>
    <row r="79" spans="1:15" ht="30.6" customHeight="1" x14ac:dyDescent="0.3">
      <c r="A79" s="224" t="s">
        <v>149</v>
      </c>
      <c r="B79" s="306">
        <f ca="1">IF(G78=2,"N/A",IF(B77-B78&lt;0,0,B77-B78))</f>
        <v>0</v>
      </c>
      <c r="C79" s="63"/>
      <c r="D79" s="223"/>
      <c r="E79" s="223"/>
      <c r="F79" s="13"/>
      <c r="G79" s="64"/>
      <c r="K79" s="24"/>
      <c r="L79" s="13"/>
      <c r="M79" s="13"/>
      <c r="N79" s="13"/>
      <c r="O79" s="13"/>
    </row>
    <row r="80" spans="1:15" ht="10.8" customHeight="1" x14ac:dyDescent="0.3">
      <c r="A80" s="252"/>
      <c r="B80" s="13"/>
      <c r="C80" s="63"/>
      <c r="D80" s="13"/>
      <c r="E80" s="13"/>
      <c r="F80" s="13"/>
      <c r="G80" s="60"/>
      <c r="K80" s="13"/>
      <c r="L80" s="6"/>
      <c r="M80" s="13"/>
      <c r="N80" s="13"/>
      <c r="O80" s="13"/>
    </row>
    <row r="81" spans="1:15" ht="28.8" customHeight="1" x14ac:dyDescent="0.3">
      <c r="A81" s="401" t="str">
        <f>IF(B82="","","NOTE: Please include a copy of the appropriate STP worksheet(s) with the application.")</f>
        <v/>
      </c>
      <c r="B81" s="391" t="s">
        <v>160</v>
      </c>
      <c r="C81" s="392"/>
      <c r="D81" s="393"/>
      <c r="E81" s="245" t="s">
        <v>147</v>
      </c>
      <c r="F81" s="251" t="s">
        <v>138</v>
      </c>
      <c r="G81" s="60"/>
      <c r="K81" s="13"/>
      <c r="L81" s="6"/>
      <c r="M81" s="13"/>
      <c r="N81" s="13"/>
      <c r="O81" s="13"/>
    </row>
    <row r="82" spans="1:15" x14ac:dyDescent="0.3">
      <c r="A82" s="401"/>
      <c r="B82" s="372"/>
      <c r="C82" s="372"/>
      <c r="D82" s="372"/>
      <c r="E82" s="175"/>
      <c r="F82" s="108" t="str">
        <f>IF(B82="","",VLOOKUP(B82,Lookup!$H$13:$I$19,2,FALSE))</f>
        <v/>
      </c>
      <c r="G82" s="60"/>
    </row>
    <row r="83" spans="1:15" x14ac:dyDescent="0.3">
      <c r="A83" s="401"/>
      <c r="B83" s="372"/>
      <c r="C83" s="372"/>
      <c r="D83" s="372"/>
      <c r="E83" s="175"/>
      <c r="F83" s="108" t="str">
        <f>IF(B83="","",VLOOKUP(B83,Lookup!$H$13:$I$19,2,FALSE))</f>
        <v/>
      </c>
      <c r="G83" s="60"/>
    </row>
    <row r="84" spans="1:15" x14ac:dyDescent="0.3">
      <c r="A84" s="401"/>
      <c r="B84" s="372"/>
      <c r="C84" s="372"/>
      <c r="D84" s="372"/>
      <c r="E84" s="175"/>
      <c r="F84" s="108" t="str">
        <f>IF(B84="","",VLOOKUP(B84,Lookup!$H$13:$I$19,2,FALSE))</f>
        <v/>
      </c>
      <c r="G84" s="60"/>
    </row>
    <row r="85" spans="1:15" ht="15.6" x14ac:dyDescent="0.35">
      <c r="A85" s="118"/>
      <c r="B85" s="19"/>
      <c r="C85" s="19"/>
      <c r="D85" s="1" t="s">
        <v>153</v>
      </c>
      <c r="E85" s="307">
        <f>SUM(E82:E84)</f>
        <v>0</v>
      </c>
      <c r="F85" s="13" t="s">
        <v>90</v>
      </c>
      <c r="G85" s="60"/>
    </row>
    <row r="86" spans="1:15" ht="15.6" x14ac:dyDescent="0.35">
      <c r="A86" s="68"/>
      <c r="B86" s="19"/>
      <c r="C86" s="19"/>
      <c r="D86" s="1" t="s">
        <v>203</v>
      </c>
      <c r="E86" s="134" t="str">
        <f ca="1">IF(G78=2,"Yes",IF(ROUND(E85,3)&gt;=ROUND(B79,3),"Yes","No"))</f>
        <v>Yes</v>
      </c>
      <c r="F86" s="13"/>
      <c r="G86" s="60"/>
    </row>
    <row r="87" spans="1:15" ht="14.4" customHeight="1" x14ac:dyDescent="0.3">
      <c r="A87" s="368" t="str">
        <f ca="1">IF(E86="No","NOTE:  Add more water quality practices unless site balancing is being used. (Check summary tab)","")</f>
        <v/>
      </c>
      <c r="B87" s="369"/>
      <c r="C87" s="369"/>
      <c r="D87" s="369"/>
      <c r="E87" s="369"/>
      <c r="F87" s="369"/>
      <c r="G87" s="370"/>
    </row>
    <row r="88" spans="1:15" ht="51.6" customHeight="1" thickBot="1" x14ac:dyDescent="0.35">
      <c r="A88" s="239" t="s">
        <v>168</v>
      </c>
      <c r="B88" s="414"/>
      <c r="C88" s="414"/>
      <c r="D88" s="414"/>
      <c r="E88" s="414"/>
      <c r="F88" s="414"/>
      <c r="G88" s="414"/>
    </row>
    <row r="89" spans="1:15" ht="15.6" x14ac:dyDescent="0.3">
      <c r="A89" s="56" t="s">
        <v>96</v>
      </c>
      <c r="B89" s="57"/>
      <c r="C89" s="57"/>
      <c r="D89" s="57"/>
      <c r="E89" s="178">
        <v>1</v>
      </c>
      <c r="F89" s="178">
        <v>1</v>
      </c>
      <c r="G89" s="58"/>
    </row>
    <row r="90" spans="1:15" ht="29.4" customHeight="1" x14ac:dyDescent="0.3">
      <c r="A90" s="59" t="s">
        <v>77</v>
      </c>
      <c r="B90" s="125"/>
      <c r="C90" s="364" t="str">
        <f>IF(F89=2,"Waiver (if No is selected):","")</f>
        <v/>
      </c>
      <c r="D90" s="364"/>
      <c r="E90" s="380"/>
      <c r="F90" s="380"/>
      <c r="G90" s="60"/>
      <c r="M90" s="41"/>
    </row>
    <row r="91" spans="1:15" s="49" customFormat="1" ht="37.200000000000003" customHeight="1" x14ac:dyDescent="0.3">
      <c r="A91" s="59" t="s">
        <v>80</v>
      </c>
      <c r="B91" s="27" t="str">
        <f>D61</f>
        <v>No</v>
      </c>
      <c r="C91" s="348"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not been fully met. Either increase Tv credit to fully meet HCM or provide extended detention.</v>
      </c>
      <c r="D91" s="349"/>
      <c r="E91" s="349"/>
      <c r="F91" s="349"/>
      <c r="G91" s="350"/>
    </row>
    <row r="92" spans="1:15" s="49" customFormat="1" ht="31.2" customHeight="1" x14ac:dyDescent="0.3">
      <c r="A92" s="61" t="s">
        <v>81</v>
      </c>
      <c r="B92" s="265">
        <f>IF(D60&gt;0,D45-D59,"n/a")</f>
        <v>0.11044412557070507</v>
      </c>
      <c r="C92" s="54" t="s">
        <v>90</v>
      </c>
      <c r="D92" s="31"/>
      <c r="E92" s="13"/>
      <c r="F92" s="63"/>
      <c r="G92" s="64"/>
    </row>
    <row r="93" spans="1:15" ht="34.799999999999997" customHeight="1" x14ac:dyDescent="0.3">
      <c r="A93" s="61" t="s">
        <v>92</v>
      </c>
      <c r="B93" s="125"/>
      <c r="C93" s="65" t="s">
        <v>94</v>
      </c>
      <c r="D93" s="247" t="s">
        <v>93</v>
      </c>
      <c r="E93" s="363" t="str">
        <f>IF(E89=1,"12 hours of extended detention","24 hours of extended detention")</f>
        <v>12 hours of extended detention</v>
      </c>
      <c r="F93" s="363"/>
      <c r="G93" s="60"/>
    </row>
    <row r="94" spans="1:15" ht="15" customHeight="1" x14ac:dyDescent="0.3">
      <c r="A94" s="381" t="str">
        <f>HYPERLINK("http://dec.vermont.gov/sites/dec/files/documents/wsmd_water_quality_standards_2016.pdf", "See the Vermont Water Quality Standards for warm and cold water designations")</f>
        <v>See the Vermont Water Quality Standards for warm and cold water designations</v>
      </c>
      <c r="B94" s="382"/>
      <c r="C94" s="382"/>
      <c r="D94" s="13"/>
      <c r="E94" s="358" t="s">
        <v>150</v>
      </c>
      <c r="F94" s="358"/>
      <c r="G94" s="179" t="b">
        <v>0</v>
      </c>
    </row>
    <row r="95" spans="1:15" ht="14.4" customHeight="1" x14ac:dyDescent="0.3">
      <c r="A95" s="381"/>
      <c r="B95" s="382"/>
      <c r="C95" s="382"/>
      <c r="D95" s="13"/>
      <c r="E95" s="359" t="s">
        <v>182</v>
      </c>
      <c r="F95" s="359"/>
      <c r="G95" s="360"/>
    </row>
    <row r="96" spans="1:15" x14ac:dyDescent="0.3">
      <c r="A96" s="249"/>
      <c r="B96" s="250"/>
      <c r="C96" s="13"/>
      <c r="D96" s="13"/>
      <c r="E96" s="359"/>
      <c r="F96" s="359"/>
      <c r="G96" s="360"/>
    </row>
    <row r="97" spans="1:7" x14ac:dyDescent="0.3">
      <c r="A97" s="66" t="s">
        <v>151</v>
      </c>
      <c r="B97" s="418" t="s">
        <v>99</v>
      </c>
      <c r="C97" s="419"/>
      <c r="D97" s="13"/>
      <c r="E97" s="183"/>
      <c r="F97" s="361" t="str">
        <f>IF(G94=TRUE,"detention time (hrs)","")</f>
        <v/>
      </c>
      <c r="G97" s="362"/>
    </row>
    <row r="98" spans="1:7" ht="11.4" customHeight="1" x14ac:dyDescent="0.3">
      <c r="A98" s="66"/>
      <c r="B98" s="55"/>
      <c r="C98" s="55"/>
      <c r="D98" s="13"/>
      <c r="E98" s="13"/>
      <c r="F98" s="13"/>
      <c r="G98" s="60"/>
    </row>
    <row r="99" spans="1:7" ht="45.6" customHeight="1" x14ac:dyDescent="0.3">
      <c r="A99" s="343" t="s">
        <v>210</v>
      </c>
      <c r="B99" s="344"/>
      <c r="C99" s="344"/>
      <c r="D99" s="344"/>
      <c r="E99" s="344"/>
      <c r="F99" s="344"/>
      <c r="G99" s="345"/>
    </row>
    <row r="100" spans="1:7" s="49" customFormat="1" ht="31.2" customHeight="1" x14ac:dyDescent="0.3">
      <c r="A100" s="59" t="s">
        <v>91</v>
      </c>
      <c r="B100" s="128">
        <f ca="1">D64</f>
        <v>76.585574610299091</v>
      </c>
      <c r="C100" s="383" t="s">
        <v>223</v>
      </c>
      <c r="D100" s="384"/>
      <c r="E100" s="129">
        <f ca="1">IF(E41=0,0,(F41^0.8)*(((1000/IF(B100&gt;95,95,IF(B100&lt;50,50,B100)))-9)^0.7)/(1140*E41^0.5)*60)</f>
        <v>10.741468119914693</v>
      </c>
      <c r="F100" s="73" t="s">
        <v>102</v>
      </c>
      <c r="G100" s="64"/>
    </row>
    <row r="101" spans="1:7" ht="49.2" customHeight="1" thickBot="1" x14ac:dyDescent="0.35">
      <c r="A101" s="222" t="s">
        <v>169</v>
      </c>
      <c r="B101" s="365"/>
      <c r="C101" s="366"/>
      <c r="D101" s="366"/>
      <c r="E101" s="366"/>
      <c r="F101" s="366"/>
      <c r="G101" s="367"/>
    </row>
    <row r="102" spans="1:7" ht="18" x14ac:dyDescent="0.4">
      <c r="A102" s="56" t="s">
        <v>97</v>
      </c>
      <c r="B102" s="57"/>
      <c r="C102" s="57"/>
      <c r="D102" s="57"/>
      <c r="E102" s="57"/>
      <c r="F102" s="178">
        <v>1</v>
      </c>
      <c r="G102" s="58"/>
    </row>
    <row r="103" spans="1:7" ht="29.4" customHeight="1" x14ac:dyDescent="0.3">
      <c r="A103" s="59" t="s">
        <v>77</v>
      </c>
      <c r="B103" s="127"/>
      <c r="C103" s="364" t="str">
        <f>IF(F102=1,"","Waiver (if No is selected):")</f>
        <v/>
      </c>
      <c r="D103" s="364"/>
      <c r="E103" s="380"/>
      <c r="F103" s="380"/>
      <c r="G103" s="60"/>
    </row>
    <row r="104" spans="1:7" ht="43.2" customHeight="1" x14ac:dyDescent="0.3">
      <c r="A104" s="59" t="s">
        <v>80</v>
      </c>
      <c r="B104" s="27" t="str">
        <f>E61</f>
        <v>No</v>
      </c>
      <c r="C104" s="348"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not been fully met. Provide additional STPs to ensure post development peak runoff does not exceed pre development peak runoff for the 10 yr, 24 hour storm event.</v>
      </c>
      <c r="D104" s="349"/>
      <c r="E104" s="349"/>
      <c r="F104" s="349"/>
      <c r="G104" s="350"/>
    </row>
    <row r="105" spans="1:7" x14ac:dyDescent="0.3">
      <c r="A105" s="68" t="s">
        <v>104</v>
      </c>
      <c r="B105" s="357" t="s">
        <v>99</v>
      </c>
      <c r="C105" s="357"/>
      <c r="D105" s="357"/>
      <c r="E105" s="357"/>
      <c r="F105" s="357"/>
      <c r="G105" s="60"/>
    </row>
    <row r="106" spans="1:7" x14ac:dyDescent="0.3">
      <c r="A106" s="14"/>
      <c r="B106" s="13"/>
      <c r="C106" s="20" t="s">
        <v>105</v>
      </c>
      <c r="D106" s="176">
        <v>5.12</v>
      </c>
      <c r="E106" s="13"/>
      <c r="F106" s="13"/>
      <c r="G106" s="60"/>
    </row>
    <row r="107" spans="1:7" x14ac:dyDescent="0.3">
      <c r="A107" s="14"/>
      <c r="B107" s="13"/>
      <c r="C107" s="20" t="s">
        <v>107</v>
      </c>
      <c r="D107" s="176">
        <v>6.64</v>
      </c>
      <c r="E107" s="13"/>
      <c r="F107" s="13"/>
      <c r="G107" s="60"/>
    </row>
    <row r="108" spans="1:7" x14ac:dyDescent="0.3">
      <c r="A108" s="14"/>
      <c r="B108" s="13"/>
      <c r="C108" s="20" t="s">
        <v>106</v>
      </c>
      <c r="D108" s="176">
        <v>5.81</v>
      </c>
      <c r="E108" s="13"/>
      <c r="F108" s="13"/>
      <c r="G108" s="60"/>
    </row>
    <row r="109" spans="1:7" x14ac:dyDescent="0.3">
      <c r="A109" s="14"/>
      <c r="B109" s="13"/>
      <c r="C109" s="20"/>
      <c r="D109" s="19"/>
      <c r="E109" s="13"/>
      <c r="F109" s="13"/>
      <c r="G109" s="60"/>
    </row>
    <row r="110" spans="1:7" ht="46.8" customHeight="1" x14ac:dyDescent="0.3">
      <c r="A110" s="343" t="s">
        <v>211</v>
      </c>
      <c r="B110" s="344"/>
      <c r="C110" s="344"/>
      <c r="D110" s="344"/>
      <c r="E110" s="344"/>
      <c r="F110" s="344"/>
      <c r="G110" s="345"/>
    </row>
    <row r="111" spans="1:7" ht="28.8" customHeight="1" x14ac:dyDescent="0.3">
      <c r="A111" s="194" t="s">
        <v>224</v>
      </c>
      <c r="B111" s="71">
        <f>E65</f>
        <v>72.414595839271911</v>
      </c>
      <c r="C111" s="420" t="s">
        <v>225</v>
      </c>
      <c r="D111" s="421"/>
      <c r="E111" s="72">
        <f>IF(E40=0,0,(F40^0.8)*(((1000/IF(B111&gt;95,95,IF(B111&lt;50,50,B111)))-9)^0.7)/(1140*E40^0.5)*60)</f>
        <v>11.790091337486009</v>
      </c>
      <c r="F111" s="346" t="s">
        <v>102</v>
      </c>
      <c r="G111" s="248"/>
    </row>
    <row r="112" spans="1:7" ht="28.8" customHeight="1" x14ac:dyDescent="0.3">
      <c r="A112" s="59" t="s">
        <v>91</v>
      </c>
      <c r="B112" s="71">
        <f ca="1">E64</f>
        <v>77.259616938417437</v>
      </c>
      <c r="C112" s="383" t="s">
        <v>223</v>
      </c>
      <c r="D112" s="384"/>
      <c r="E112" s="72">
        <f ca="1">IF(E41=0,0,(F41^0.8)*(((1000/IF(B112&gt;95,95,IF(B112&lt;50,50,B112)))-9)^0.7)/(1140*E41^0.5)*60)</f>
        <v>10.529455799946595</v>
      </c>
      <c r="F112" s="347"/>
      <c r="G112" s="64"/>
    </row>
    <row r="113" spans="1:7" ht="57.6" customHeight="1" thickBot="1" x14ac:dyDescent="0.35">
      <c r="A113" s="124" t="s">
        <v>170</v>
      </c>
      <c r="B113" s="365" t="s">
        <v>262</v>
      </c>
      <c r="C113" s="366"/>
      <c r="D113" s="366"/>
      <c r="E113" s="366"/>
      <c r="F113" s="366"/>
      <c r="G113" s="367"/>
    </row>
    <row r="114" spans="1:7" ht="18" x14ac:dyDescent="0.4">
      <c r="A114" s="56" t="s">
        <v>108</v>
      </c>
      <c r="B114" s="57"/>
      <c r="C114" s="57"/>
      <c r="D114" s="57"/>
      <c r="E114" s="57"/>
      <c r="F114" s="178">
        <v>2</v>
      </c>
      <c r="G114" s="58"/>
    </row>
    <row r="115" spans="1:7" ht="28.8" customHeight="1" x14ac:dyDescent="0.3">
      <c r="A115" s="59" t="s">
        <v>77</v>
      </c>
      <c r="B115" s="126"/>
      <c r="C115" s="364" t="str">
        <f>IF(F114=1,"","Waiver (if No is selected):")</f>
        <v>Waiver (if No is selected):</v>
      </c>
      <c r="D115" s="364"/>
      <c r="E115" s="380" t="s">
        <v>51</v>
      </c>
      <c r="F115" s="380"/>
      <c r="G115" s="60"/>
    </row>
    <row r="116" spans="1:7" ht="43.2" customHeight="1" x14ac:dyDescent="0.3">
      <c r="A116" s="59" t="s">
        <v>80</v>
      </c>
      <c r="B116" s="27" t="str">
        <f>F61</f>
        <v>No</v>
      </c>
      <c r="C116" s="348"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standard has not been fully met. Provide additional STPs to ensure post development peak runoff does not exceed pre development peak runoff for the 100 yr, 24 hour storm event.</v>
      </c>
      <c r="D116" s="349"/>
      <c r="E116" s="349"/>
      <c r="F116" s="349"/>
      <c r="G116" s="350"/>
    </row>
    <row r="117" spans="1:7" x14ac:dyDescent="0.3">
      <c r="A117" s="68" t="s">
        <v>104</v>
      </c>
      <c r="B117" s="424"/>
      <c r="C117" s="424"/>
      <c r="D117" s="424"/>
      <c r="E117" s="424"/>
      <c r="F117" s="424"/>
      <c r="G117" s="60"/>
    </row>
    <row r="118" spans="1:7" x14ac:dyDescent="0.3">
      <c r="A118" s="14"/>
      <c r="B118" s="13"/>
      <c r="C118" s="20" t="s">
        <v>105</v>
      </c>
      <c r="D118" s="177"/>
      <c r="E118" s="13"/>
      <c r="F118" s="13"/>
      <c r="G118" s="60"/>
    </row>
    <row r="119" spans="1:7" x14ac:dyDescent="0.3">
      <c r="A119" s="14"/>
      <c r="B119" s="13"/>
      <c r="C119" s="20" t="s">
        <v>107</v>
      </c>
      <c r="D119" s="177"/>
      <c r="E119" s="13"/>
      <c r="F119" s="13"/>
      <c r="G119" s="60"/>
    </row>
    <row r="120" spans="1:7" x14ac:dyDescent="0.3">
      <c r="A120" s="14"/>
      <c r="B120" s="13"/>
      <c r="C120" s="20" t="s">
        <v>106</v>
      </c>
      <c r="D120" s="177"/>
      <c r="E120" s="13"/>
      <c r="F120" s="13"/>
      <c r="G120" s="60"/>
    </row>
    <row r="121" spans="1:7" x14ac:dyDescent="0.3">
      <c r="A121" s="14"/>
      <c r="B121" s="13"/>
      <c r="C121" s="13"/>
      <c r="D121" s="13"/>
      <c r="E121" s="13"/>
      <c r="F121" s="13"/>
      <c r="G121" s="60"/>
    </row>
    <row r="122" spans="1:7" ht="45.6" customHeight="1" x14ac:dyDescent="0.3">
      <c r="A122" s="343" t="s">
        <v>215</v>
      </c>
      <c r="B122" s="344"/>
      <c r="C122" s="344"/>
      <c r="D122" s="344"/>
      <c r="E122" s="344"/>
      <c r="F122" s="344"/>
      <c r="G122" s="345"/>
    </row>
    <row r="123" spans="1:7" ht="32.4" customHeight="1" x14ac:dyDescent="0.3">
      <c r="A123" s="194" t="s">
        <v>224</v>
      </c>
      <c r="B123" s="71">
        <f>F65</f>
        <v>72.343485317370181</v>
      </c>
      <c r="C123" s="420" t="s">
        <v>225</v>
      </c>
      <c r="D123" s="421"/>
      <c r="E123" s="72">
        <f>IF(E40=0,0,(F40^0.8)*(((1000/IF(B123&gt;95,95,IF(B123&lt;50,50,B123)))-9)^0.7)/(1140*E40^0.5)*60)</f>
        <v>11.813375016466374</v>
      </c>
      <c r="F123" s="422" t="s">
        <v>102</v>
      </c>
      <c r="G123" s="248"/>
    </row>
    <row r="124" spans="1:7" ht="28.8" customHeight="1" x14ac:dyDescent="0.3">
      <c r="A124" s="59" t="s">
        <v>91</v>
      </c>
      <c r="B124" s="71">
        <f ca="1">F64</f>
        <v>77.314642650364078</v>
      </c>
      <c r="C124" s="383" t="s">
        <v>223</v>
      </c>
      <c r="D124" s="384"/>
      <c r="E124" s="72">
        <f ca="1">IF(E41=0,0,(F41^0.8)*(((1000/IF(B124&gt;95,95,IF(B124&lt;50,50,B124)))-9)^0.7)/(1140*E41^0.5)*60)</f>
        <v>10.512231569031233</v>
      </c>
      <c r="F124" s="423"/>
      <c r="G124" s="64"/>
    </row>
    <row r="125" spans="1:7" ht="57.6" customHeight="1" thickBot="1" x14ac:dyDescent="0.35">
      <c r="A125" s="124" t="s">
        <v>171</v>
      </c>
      <c r="B125" s="365"/>
      <c r="C125" s="366"/>
      <c r="D125" s="366"/>
      <c r="E125" s="366"/>
      <c r="F125" s="366"/>
      <c r="G125" s="367"/>
    </row>
  </sheetData>
  <sheetProtection algorithmName="SHA-512" hashValue="VNoB+1yvU6cBEtISJMHLWcc7btWe249OhttmhiFjL7xmEyhCwsRmV+Nl4ci5Lvc1ca/NlloCTVGjI+6JNeq5eg==" saltValue="xLyqFLKOGq7pifZVVxHqfg==" spinCount="100000" sheet="1" objects="1" scenarios="1"/>
  <dataConsolidate/>
  <mergeCells count="67">
    <mergeCell ref="C123:D123"/>
    <mergeCell ref="F123:F124"/>
    <mergeCell ref="C124:D124"/>
    <mergeCell ref="B125:G125"/>
    <mergeCell ref="B113:G113"/>
    <mergeCell ref="C115:D115"/>
    <mergeCell ref="E115:F115"/>
    <mergeCell ref="C116:G116"/>
    <mergeCell ref="B117:F117"/>
    <mergeCell ref="A122:G122"/>
    <mergeCell ref="C104:G104"/>
    <mergeCell ref="B105:F105"/>
    <mergeCell ref="A110:G110"/>
    <mergeCell ref="C111:D111"/>
    <mergeCell ref="F111:F112"/>
    <mergeCell ref="C112:D112"/>
    <mergeCell ref="C103:D103"/>
    <mergeCell ref="E103:F103"/>
    <mergeCell ref="B88:G88"/>
    <mergeCell ref="C90:D90"/>
    <mergeCell ref="E90:F90"/>
    <mergeCell ref="C91:G91"/>
    <mergeCell ref="E93:F93"/>
    <mergeCell ref="A94:C95"/>
    <mergeCell ref="E94:F94"/>
    <mergeCell ref="E95:G96"/>
    <mergeCell ref="B97:C97"/>
    <mergeCell ref="F97:G97"/>
    <mergeCell ref="A99:G99"/>
    <mergeCell ref="C100:D100"/>
    <mergeCell ref="B101:G101"/>
    <mergeCell ref="A87:G87"/>
    <mergeCell ref="C70:G70"/>
    <mergeCell ref="B71:G71"/>
    <mergeCell ref="C75:D75"/>
    <mergeCell ref="C76:D76"/>
    <mergeCell ref="C77:G77"/>
    <mergeCell ref="D78:E78"/>
    <mergeCell ref="A81:A84"/>
    <mergeCell ref="B81:D81"/>
    <mergeCell ref="B82:D82"/>
    <mergeCell ref="B83:D83"/>
    <mergeCell ref="B84:D84"/>
    <mergeCell ref="E68:F68"/>
    <mergeCell ref="A39:B41"/>
    <mergeCell ref="A44:C44"/>
    <mergeCell ref="A45:C45"/>
    <mergeCell ref="A48:G48"/>
    <mergeCell ref="C49:D49"/>
    <mergeCell ref="C50:D50"/>
    <mergeCell ref="C51:D51"/>
    <mergeCell ref="C52:D52"/>
    <mergeCell ref="C53:D53"/>
    <mergeCell ref="C54:D54"/>
    <mergeCell ref="C68:D68"/>
    <mergeCell ref="A38:G38"/>
    <mergeCell ref="D2:F2"/>
    <mergeCell ref="D3:F3"/>
    <mergeCell ref="D4:F4"/>
    <mergeCell ref="D5:F5"/>
    <mergeCell ref="D6:F6"/>
    <mergeCell ref="B8:D8"/>
    <mergeCell ref="A13:F13"/>
    <mergeCell ref="G14:G15"/>
    <mergeCell ref="A21:G21"/>
    <mergeCell ref="A22:F22"/>
    <mergeCell ref="B31:E31"/>
  </mergeCells>
  <conditionalFormatting sqref="E68:F68">
    <cfRule type="expression" dxfId="295" priority="36">
      <formula>$F$67=2</formula>
    </cfRule>
  </conditionalFormatting>
  <conditionalFormatting sqref="E90:F90">
    <cfRule type="expression" dxfId="294" priority="35">
      <formula>$F$89=2</formula>
    </cfRule>
  </conditionalFormatting>
  <conditionalFormatting sqref="E103:F103">
    <cfRule type="expression" dxfId="293" priority="34">
      <formula>$F$102=2</formula>
    </cfRule>
  </conditionalFormatting>
  <conditionalFormatting sqref="E115:F115">
    <cfRule type="expression" dxfId="292" priority="33">
      <formula>$F$114=2</formula>
    </cfRule>
  </conditionalFormatting>
  <conditionalFormatting sqref="B105:F105 D108">
    <cfRule type="expression" dxfId="291" priority="32">
      <formula>$F$102=1</formula>
    </cfRule>
  </conditionalFormatting>
  <conditionalFormatting sqref="D106">
    <cfRule type="expression" dxfId="290" priority="31">
      <formula>$F$102=1</formula>
    </cfRule>
  </conditionalFormatting>
  <conditionalFormatting sqref="B117:F117 D120">
    <cfRule type="expression" dxfId="289" priority="30">
      <formula>$F$114=1</formula>
    </cfRule>
  </conditionalFormatting>
  <conditionalFormatting sqref="B82:D82 B83:B84 E82:E84">
    <cfRule type="expression" dxfId="288" priority="37">
      <formula>$F$79&gt;0</formula>
    </cfRule>
  </conditionalFormatting>
  <conditionalFormatting sqref="E97">
    <cfRule type="expression" dxfId="287" priority="29">
      <formula>$G$94=TRUE</formula>
    </cfRule>
  </conditionalFormatting>
  <conditionalFormatting sqref="D119">
    <cfRule type="expression" dxfId="286" priority="28">
      <formula>$F$114=1</formula>
    </cfRule>
  </conditionalFormatting>
  <conditionalFormatting sqref="D118">
    <cfRule type="expression" dxfId="285" priority="27">
      <formula>$F$114=1</formula>
    </cfRule>
  </conditionalFormatting>
  <conditionalFormatting sqref="D107">
    <cfRule type="expression" dxfId="284" priority="26">
      <formula>$F$102=1</formula>
    </cfRule>
  </conditionalFormatting>
  <conditionalFormatting sqref="C64">
    <cfRule type="expression" dxfId="283" priority="25">
      <formula>$C$64="n/a"</formula>
    </cfRule>
  </conditionalFormatting>
  <conditionalFormatting sqref="B82:E84">
    <cfRule type="expression" dxfId="282" priority="24">
      <formula>$F$79="N/A"</formula>
    </cfRule>
  </conditionalFormatting>
  <conditionalFormatting sqref="C61">
    <cfRule type="expression" dxfId="281" priority="21">
      <formula>C61="n/a"</formula>
    </cfRule>
    <cfRule type="expression" dxfId="280" priority="22">
      <formula>C61="No"</formula>
    </cfRule>
    <cfRule type="expression" dxfId="279" priority="23">
      <formula>C61="Yes"</formula>
    </cfRule>
  </conditionalFormatting>
  <conditionalFormatting sqref="B61">
    <cfRule type="expression" dxfId="278" priority="18">
      <formula>B61="n/a"</formula>
    </cfRule>
    <cfRule type="expression" dxfId="277" priority="19">
      <formula>B61="No"</formula>
    </cfRule>
    <cfRule type="expression" dxfId="276" priority="20">
      <formula>B61="Yes"</formula>
    </cfRule>
  </conditionalFormatting>
  <conditionalFormatting sqref="D61:F61">
    <cfRule type="expression" dxfId="275" priority="15">
      <formula>D61="n/a"</formula>
    </cfRule>
    <cfRule type="expression" dxfId="274" priority="16">
      <formula>D61="No"</formula>
    </cfRule>
    <cfRule type="expression" dxfId="273" priority="17">
      <formula>D61="Yes"</formula>
    </cfRule>
  </conditionalFormatting>
  <conditionalFormatting sqref="B70">
    <cfRule type="expression" dxfId="272" priority="12">
      <formula>B70="n/a"</formula>
    </cfRule>
    <cfRule type="expression" dxfId="271" priority="13">
      <formula>B70="No"</formula>
    </cfRule>
    <cfRule type="expression" dxfId="270" priority="14">
      <formula>B70="Yes"</formula>
    </cfRule>
  </conditionalFormatting>
  <conditionalFormatting sqref="B91">
    <cfRule type="expression" dxfId="269" priority="9">
      <formula>B91="n/a"</formula>
    </cfRule>
    <cfRule type="expression" dxfId="268" priority="10">
      <formula>B91="No"</formula>
    </cfRule>
    <cfRule type="expression" dxfId="267" priority="11">
      <formula>B91="Yes"</formula>
    </cfRule>
  </conditionalFormatting>
  <conditionalFormatting sqref="B104">
    <cfRule type="expression" dxfId="266" priority="6">
      <formula>B104="n/a"</formula>
    </cfRule>
    <cfRule type="expression" dxfId="265" priority="7">
      <formula>B104="No"</formula>
    </cfRule>
    <cfRule type="expression" dxfId="264" priority="8">
      <formula>B104="Yes"</formula>
    </cfRule>
  </conditionalFormatting>
  <conditionalFormatting sqref="B116">
    <cfRule type="expression" dxfId="263" priority="3">
      <formula>B116="n/a"</formula>
    </cfRule>
    <cfRule type="expression" dxfId="262" priority="4">
      <formula>B116="No"</formula>
    </cfRule>
    <cfRule type="expression" dxfId="261" priority="5">
      <formula>B116="Yes"</formula>
    </cfRule>
  </conditionalFormatting>
  <conditionalFormatting sqref="F75">
    <cfRule type="expression" dxfId="260" priority="2">
      <formula>$E$75&gt;=5%</formula>
    </cfRule>
  </conditionalFormatting>
  <conditionalFormatting sqref="F76">
    <cfRule type="expression" dxfId="259" priority="1">
      <formula>$E$76&gt;0</formula>
    </cfRule>
  </conditionalFormatting>
  <dataValidations count="2">
    <dataValidation type="decimal" allowBlank="1" showInputMessage="1" showErrorMessage="1" errorTitle="Invalid Latitude!" error="You've entered a latitude that is not in Vermont." sqref="D5:F5" xr:uid="{F86D02EE-9BF8-46AC-9154-EC4A78613EAC}">
      <formula1>42.72</formula1>
      <formula2>45.02</formula2>
    </dataValidation>
    <dataValidation type="decimal" allowBlank="1" showInputMessage="1" showErrorMessage="1" errorTitle="Invalid Longitude" error="You've entered a longitude outside of Vermont.  Longitude values in VT should always be negative." sqref="D6:F6" xr:uid="{3FA0B948-EA6E-432B-87CB-C90BF14BFF28}">
      <formula1>-73.732</formula1>
      <formula2>-71.46</formula2>
    </dataValidation>
  </dataValidations>
  <hyperlinks>
    <hyperlink ref="E8" r:id="rId1" xr:uid="{501CD9FA-F4CF-4FFE-BB51-A2EA8D9D7114}"/>
  </hyperlinks>
  <pageMargins left="0.5" right="0.5" top="0.75" bottom="0.75" header="0.3" footer="0.3"/>
  <pageSetup orientation="portrait" r:id="rId2"/>
  <headerFooter>
    <oddHeader>&amp;C&amp;"-,Bold"&amp;14Vermont Operational Stormwater Permit - Standards Compliance Workbook</oddHeader>
    <oddFooter>&amp;LLast Updated 11/20/2017
&amp;R&amp;A: 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21857" r:id="rId5" name="Group Box 1">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21858" r:id="rId6" name="Option Button 2">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21859" r:id="rId7" name="Option Button 3">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21860" r:id="rId8" name="Group Box 4">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21861" r:id="rId9" name="Option Button 5">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21862" r:id="rId10" name="Option Button 6">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21863" r:id="rId11" name="Group Box 7">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21864" r:id="rId12" name="Option Button 8">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21865" r:id="rId13" name="Option Button 9">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21866" r:id="rId14" name="Group Box 10">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21867" r:id="rId15" name="Option Button 11">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21868" r:id="rId16" name="Option Button 12">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21869" r:id="rId17" name="Group Box 13">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21870" r:id="rId18" name="Option Button 14">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21871" r:id="rId19" name="Option Button 15">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21872" r:id="rId20" name="Check Box 16">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21873" r:id="rId21" name="Group Box 17">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21874" r:id="rId22" name="Option Button 18">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21875" r:id="rId23" name="Option Button 19">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21876" r:id="rId24" name="Group Box 20">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21877" r:id="rId25" name="Group Box 2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21878" r:id="rId26" name="Option Button 2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21879" r:id="rId27" name="Option Button 2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21880" r:id="rId28" name="Option Button 24">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21881" r:id="rId29" name="Option Button 25">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762E6445-9A38-4B69-AA1E-0315E967B4EA}">
          <x14:formula1>
            <xm:f>Lookup!$G$11:$G$23</xm:f>
          </x14:formula1>
          <xm:sqref>A50:A54 C50:D54</xm:sqref>
        </x14:dataValidation>
        <x14:dataValidation type="list" allowBlank="1" showInputMessage="1" showErrorMessage="1" xr:uid="{33AE34CD-D8FE-4192-9A9D-112272028718}">
          <x14:formula1>
            <xm:f>Lookup!$G$12:$G$23</xm:f>
          </x14:formula1>
          <xm:sqref>A55</xm:sqref>
        </x14:dataValidation>
        <x14:dataValidation type="list" allowBlank="1" showInputMessage="1" showErrorMessage="1" xr:uid="{97985097-FDF3-4DC8-B861-A8E83C5CEA72}">
          <x14:formula1>
            <xm:f>Lookup!$H$13:$H$19</xm:f>
          </x14:formula1>
          <xm:sqref>C82:D82 B82:B84</xm:sqref>
        </x14:dataValidation>
        <x14:dataValidation type="list" allowBlank="1" showInputMessage="1" showErrorMessage="1" xr:uid="{6CA87551-603B-41CB-8554-C2DD3ECF38C3}">
          <x14:formula1>
            <xm:f>Lookup!$J$4:$J$8</xm:f>
          </x14:formula1>
          <xm:sqref>E115:F115</xm:sqref>
        </x14:dataValidation>
        <x14:dataValidation type="list" allowBlank="1" showInputMessage="1" showErrorMessage="1" xr:uid="{71C3428C-F325-4F0C-AFD6-E2FB33ABE2C0}">
          <x14:formula1>
            <xm:f>Lookup!$I$4:$I$8</xm:f>
          </x14:formula1>
          <xm:sqref>E103:F103</xm:sqref>
        </x14:dataValidation>
        <x14:dataValidation type="list" allowBlank="1" showInputMessage="1" showErrorMessage="1" xr:uid="{8753281C-9583-4622-9300-424C6CE88013}">
          <x14:formula1>
            <xm:f>Lookup!$H$4:$H$7</xm:f>
          </x14:formula1>
          <xm:sqref>E90:F90</xm:sqref>
        </x14:dataValidation>
        <x14:dataValidation type="list" allowBlank="1" showInputMessage="1" showErrorMessage="1" xr:uid="{BB15CE8F-8CB9-4BAE-90D4-2610CB4F3B2D}">
          <x14:formula1>
            <xm:f>Lookup!$G$3:$G$6</xm:f>
          </x14:formula1>
          <xm:sqref>E68:F68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47501-A62E-4A9C-BF35-6801B33B039F}">
  <dimension ref="A1:O125"/>
  <sheetViews>
    <sheetView view="pageLayout" topLeftCell="A40" zoomScale="90" zoomScaleNormal="100" zoomScalePageLayoutView="90" workbookViewId="0">
      <selection activeCell="E119" sqref="E119"/>
    </sheetView>
  </sheetViews>
  <sheetFormatPr defaultRowHeight="14.4" x14ac:dyDescent="0.3"/>
  <cols>
    <col min="1" max="1" width="21.88671875" style="181" customWidth="1"/>
    <col min="2" max="6" width="12.21875" style="181" customWidth="1"/>
    <col min="7" max="7" width="7.21875" style="181" customWidth="1"/>
    <col min="8" max="8" width="8.88671875" style="181"/>
    <col min="9" max="9" width="8.6640625" style="181" customWidth="1"/>
    <col min="10" max="16384" width="8.88671875" style="181"/>
  </cols>
  <sheetData>
    <row r="1" spans="1:15" ht="18" x14ac:dyDescent="0.35">
      <c r="A1" s="96" t="s">
        <v>32</v>
      </c>
      <c r="B1" s="97"/>
      <c r="C1" s="97"/>
      <c r="D1" s="97"/>
      <c r="E1" s="97"/>
      <c r="F1" s="97"/>
      <c r="G1" s="98"/>
      <c r="H1" s="32"/>
      <c r="I1" s="21"/>
      <c r="J1" s="21"/>
    </row>
    <row r="2" spans="1:15" x14ac:dyDescent="0.3">
      <c r="A2" s="14"/>
      <c r="B2" s="13"/>
      <c r="C2" s="45" t="s">
        <v>29</v>
      </c>
      <c r="D2" s="411" t="str">
        <f>IF(Summary!C1="","",Summary!C1)</f>
        <v>East Street Industrial Park</v>
      </c>
      <c r="E2" s="411"/>
      <c r="F2" s="411"/>
      <c r="G2" s="99"/>
      <c r="H2" s="22"/>
      <c r="I2" s="22"/>
      <c r="J2" s="22"/>
    </row>
    <row r="3" spans="1:15" x14ac:dyDescent="0.3">
      <c r="A3" s="14"/>
      <c r="B3" s="13"/>
      <c r="C3" s="45" t="s">
        <v>30</v>
      </c>
      <c r="D3" s="415">
        <v>3</v>
      </c>
      <c r="E3" s="416"/>
      <c r="F3" s="417"/>
      <c r="G3" s="99"/>
      <c r="H3" s="22"/>
      <c r="I3" s="22"/>
      <c r="J3" s="22"/>
    </row>
    <row r="4" spans="1:15" x14ac:dyDescent="0.3">
      <c r="A4" s="14"/>
      <c r="B4" s="13"/>
      <c r="C4" s="45" t="s">
        <v>31</v>
      </c>
      <c r="D4" s="427" t="s">
        <v>260</v>
      </c>
      <c r="E4" s="428"/>
      <c r="F4" s="429"/>
      <c r="G4" s="99"/>
      <c r="H4" s="22"/>
      <c r="I4" s="22"/>
      <c r="J4" s="22"/>
    </row>
    <row r="5" spans="1:15" x14ac:dyDescent="0.3">
      <c r="A5" s="14"/>
      <c r="B5" s="13"/>
      <c r="C5" s="45" t="s">
        <v>172</v>
      </c>
      <c r="D5" s="430">
        <v>44.000030000000002</v>
      </c>
      <c r="E5" s="430"/>
      <c r="F5" s="430"/>
      <c r="G5" s="99"/>
      <c r="H5" s="22"/>
      <c r="I5" s="22"/>
      <c r="J5" s="22"/>
    </row>
    <row r="6" spans="1:15" ht="15.6" customHeight="1" x14ac:dyDescent="0.3">
      <c r="A6" s="14"/>
      <c r="B6" s="13"/>
      <c r="C6" s="46" t="s">
        <v>177</v>
      </c>
      <c r="D6" s="431">
        <v>-73.000029999999995</v>
      </c>
      <c r="E6" s="432"/>
      <c r="F6" s="433"/>
      <c r="G6" s="99"/>
      <c r="H6" s="22"/>
      <c r="I6" s="22"/>
      <c r="J6" s="22"/>
    </row>
    <row r="7" spans="1:15" ht="9.6" customHeight="1" x14ac:dyDescent="0.3">
      <c r="A7" s="14"/>
      <c r="B7" s="13"/>
      <c r="C7" s="13"/>
      <c r="D7" s="13"/>
      <c r="E7" s="13"/>
      <c r="F7" s="15"/>
      <c r="G7" s="99"/>
      <c r="H7" s="22"/>
      <c r="I7" s="22"/>
      <c r="J7" s="22"/>
    </row>
    <row r="8" spans="1:15" ht="18" x14ac:dyDescent="0.35">
      <c r="A8" s="91" t="s">
        <v>53</v>
      </c>
      <c r="B8" s="434" t="s">
        <v>40</v>
      </c>
      <c r="C8" s="434"/>
      <c r="D8" s="434"/>
      <c r="E8" s="76" t="s">
        <v>41</v>
      </c>
      <c r="F8" s="13"/>
      <c r="G8" s="60"/>
      <c r="K8" s="23"/>
      <c r="L8" s="13"/>
      <c r="M8" s="13"/>
      <c r="N8" s="13"/>
      <c r="O8" s="13"/>
    </row>
    <row r="9" spans="1:15" x14ac:dyDescent="0.3">
      <c r="A9" s="130" t="s">
        <v>52</v>
      </c>
      <c r="B9" s="131" t="s">
        <v>54</v>
      </c>
      <c r="C9" s="132" t="s">
        <v>55</v>
      </c>
      <c r="D9" s="132" t="s">
        <v>56</v>
      </c>
      <c r="E9" s="132" t="s">
        <v>57</v>
      </c>
      <c r="F9" s="13"/>
      <c r="G9" s="60"/>
      <c r="K9" s="13"/>
      <c r="L9" s="13"/>
      <c r="M9" s="13"/>
      <c r="N9" s="13"/>
    </row>
    <row r="10" spans="1:15" x14ac:dyDescent="0.3">
      <c r="A10" s="61" t="s">
        <v>0</v>
      </c>
      <c r="B10" s="217">
        <v>1</v>
      </c>
      <c r="C10" s="218">
        <v>2.2000000000000002</v>
      </c>
      <c r="D10" s="218">
        <v>3.99</v>
      </c>
      <c r="E10" s="218">
        <v>6.11</v>
      </c>
      <c r="F10" s="13"/>
      <c r="G10" s="60"/>
      <c r="K10" s="13"/>
      <c r="L10" s="13"/>
      <c r="M10" s="13"/>
      <c r="N10" s="13"/>
    </row>
    <row r="11" spans="1:15" ht="12.6" customHeight="1" thickBot="1" x14ac:dyDescent="0.35">
      <c r="A11" s="100"/>
      <c r="B11" s="101"/>
      <c r="C11" s="102"/>
      <c r="D11" s="102"/>
      <c r="E11" s="102"/>
      <c r="F11" s="102"/>
      <c r="G11" s="70"/>
      <c r="K11" s="13"/>
      <c r="L11" s="6"/>
      <c r="M11" s="13"/>
      <c r="N11" s="13"/>
      <c r="O11" s="13"/>
    </row>
    <row r="12" spans="1:15" ht="15.6" x14ac:dyDescent="0.3">
      <c r="A12" s="77" t="s">
        <v>82</v>
      </c>
      <c r="B12" s="94"/>
      <c r="C12" s="95"/>
      <c r="D12" s="95"/>
      <c r="E12" s="95"/>
      <c r="F12" s="95"/>
      <c r="G12" s="58"/>
      <c r="K12" s="13"/>
      <c r="L12" s="6"/>
      <c r="M12" s="13"/>
      <c r="N12" s="13"/>
      <c r="O12" s="13"/>
    </row>
    <row r="13" spans="1:15" ht="15.6" x14ac:dyDescent="0.3">
      <c r="A13" s="425" t="s">
        <v>58</v>
      </c>
      <c r="B13" s="426"/>
      <c r="C13" s="426"/>
      <c r="D13" s="426"/>
      <c r="E13" s="426"/>
      <c r="F13" s="426"/>
      <c r="G13" s="60"/>
      <c r="K13" s="13"/>
      <c r="L13" s="6"/>
      <c r="M13" s="13"/>
      <c r="N13" s="13"/>
      <c r="O13" s="13"/>
    </row>
    <row r="14" spans="1:15" x14ac:dyDescent="0.3">
      <c r="A14" s="243" t="s">
        <v>8</v>
      </c>
      <c r="B14" s="251" t="s">
        <v>2</v>
      </c>
      <c r="C14" s="251" t="s">
        <v>3</v>
      </c>
      <c r="D14" s="251" t="s">
        <v>4</v>
      </c>
      <c r="E14" s="251" t="s">
        <v>5</v>
      </c>
      <c r="F14" s="245" t="s">
        <v>13</v>
      </c>
      <c r="G14" s="385"/>
      <c r="H14" s="19"/>
      <c r="I14" s="19"/>
      <c r="J14" s="19"/>
      <c r="K14" s="13"/>
      <c r="L14" s="13"/>
      <c r="M14" s="13"/>
      <c r="N14" s="13"/>
      <c r="O14" s="13"/>
    </row>
    <row r="15" spans="1:15" ht="15.6" x14ac:dyDescent="0.3">
      <c r="A15" s="111" t="s">
        <v>6</v>
      </c>
      <c r="B15" s="216">
        <v>0</v>
      </c>
      <c r="C15" s="216">
        <v>0</v>
      </c>
      <c r="D15" s="216">
        <v>4.59</v>
      </c>
      <c r="E15" s="216">
        <v>0.03</v>
      </c>
      <c r="F15" s="133">
        <f t="shared" ref="F15:F18" si="0">SUM(B15:E15)</f>
        <v>4.62</v>
      </c>
      <c r="G15" s="385"/>
      <c r="H15" s="19"/>
      <c r="I15" s="19"/>
      <c r="J15" s="19"/>
      <c r="K15" s="10"/>
      <c r="L15" s="13"/>
      <c r="M15" s="13"/>
      <c r="N15" s="13"/>
      <c r="O15" s="13"/>
    </row>
    <row r="16" spans="1:15" x14ac:dyDescent="0.3">
      <c r="A16" s="111" t="s">
        <v>38</v>
      </c>
      <c r="B16" s="216">
        <v>0</v>
      </c>
      <c r="C16" s="216">
        <v>0</v>
      </c>
      <c r="D16" s="216">
        <v>0</v>
      </c>
      <c r="E16" s="216">
        <v>0</v>
      </c>
      <c r="F16" s="133">
        <f t="shared" si="0"/>
        <v>0</v>
      </c>
      <c r="G16" s="60"/>
      <c r="H16" s="1"/>
      <c r="I16" s="33"/>
      <c r="J16" s="33"/>
      <c r="K16" s="13"/>
      <c r="L16" s="22"/>
      <c r="M16" s="13"/>
      <c r="N16" s="13"/>
      <c r="O16" s="13"/>
    </row>
    <row r="17" spans="1:15" x14ac:dyDescent="0.3">
      <c r="A17" s="111" t="s">
        <v>7</v>
      </c>
      <c r="B17" s="216">
        <v>0</v>
      </c>
      <c r="C17" s="216">
        <v>0</v>
      </c>
      <c r="D17" s="216">
        <v>0.4</v>
      </c>
      <c r="E17" s="216">
        <v>0</v>
      </c>
      <c r="F17" s="133">
        <f t="shared" si="0"/>
        <v>0.4</v>
      </c>
      <c r="G17" s="60"/>
      <c r="H17" s="1"/>
      <c r="I17" s="33"/>
      <c r="J17" s="33"/>
      <c r="K17" s="13"/>
      <c r="L17" s="22"/>
      <c r="M17" s="13"/>
      <c r="N17" s="13"/>
      <c r="O17" s="13"/>
    </row>
    <row r="18" spans="1:15" x14ac:dyDescent="0.3">
      <c r="A18" s="224" t="s">
        <v>251</v>
      </c>
      <c r="B18" s="216">
        <v>0</v>
      </c>
      <c r="C18" s="216">
        <v>0</v>
      </c>
      <c r="D18" s="216">
        <v>1.42</v>
      </c>
      <c r="E18" s="216">
        <v>0</v>
      </c>
      <c r="F18" s="133">
        <f t="shared" si="0"/>
        <v>1.42</v>
      </c>
      <c r="G18" s="60"/>
      <c r="H18" s="19"/>
      <c r="I18" s="19"/>
      <c r="J18" s="34"/>
      <c r="K18" s="13"/>
      <c r="L18" s="22"/>
      <c r="M18" s="13"/>
      <c r="N18" s="13"/>
      <c r="O18" s="13"/>
    </row>
    <row r="19" spans="1:15" ht="13.8" customHeight="1" x14ac:dyDescent="0.3">
      <c r="A19" s="68"/>
      <c r="B19" s="255"/>
      <c r="C19" s="255"/>
      <c r="D19" s="271"/>
      <c r="E19" s="261" t="s">
        <v>249</v>
      </c>
      <c r="F19" s="274">
        <v>0</v>
      </c>
      <c r="G19" s="60"/>
      <c r="H19" s="19"/>
      <c r="I19" s="19"/>
      <c r="J19" s="34"/>
      <c r="K19" s="13"/>
      <c r="L19" s="6"/>
      <c r="M19" s="13"/>
      <c r="N19" s="13"/>
      <c r="O19" s="13"/>
    </row>
    <row r="20" spans="1:15" ht="13.8" customHeight="1" x14ac:dyDescent="0.3">
      <c r="A20" s="68"/>
      <c r="B20" s="255"/>
      <c r="C20" s="255"/>
      <c r="D20" s="255"/>
      <c r="E20" s="261" t="s">
        <v>250</v>
      </c>
      <c r="F20" s="272">
        <f>SUM(F15:F19)</f>
        <v>6.44</v>
      </c>
      <c r="G20" s="60"/>
      <c r="H20" s="19"/>
      <c r="I20" s="19"/>
      <c r="J20" s="34"/>
      <c r="K20" s="13"/>
      <c r="L20" s="6"/>
      <c r="M20" s="13"/>
      <c r="N20" s="13"/>
      <c r="O20" s="13"/>
    </row>
    <row r="21" spans="1:15" ht="28.2" customHeight="1" x14ac:dyDescent="0.3">
      <c r="A21" s="353" t="str">
        <f>IF(F18=0,IF(F28+F29+F30&gt;0,"Existing and/or redeveloped impervious has been defined in post development. User must define existing impervious in pre development.",""),"")</f>
        <v/>
      </c>
      <c r="B21" s="354"/>
      <c r="C21" s="354"/>
      <c r="D21" s="354"/>
      <c r="E21" s="354"/>
      <c r="F21" s="354"/>
      <c r="G21" s="355"/>
      <c r="H21" s="19"/>
      <c r="I21" s="19"/>
      <c r="J21" s="34"/>
      <c r="K21" s="13"/>
      <c r="L21" s="6"/>
      <c r="M21" s="13"/>
      <c r="N21" s="13"/>
      <c r="O21" s="13"/>
    </row>
    <row r="22" spans="1:15" ht="15.6" x14ac:dyDescent="0.3">
      <c r="A22" s="397" t="s">
        <v>123</v>
      </c>
      <c r="B22" s="398"/>
      <c r="C22" s="398"/>
      <c r="D22" s="398"/>
      <c r="E22" s="398"/>
      <c r="F22" s="398"/>
      <c r="G22" s="262" t="s">
        <v>246</v>
      </c>
      <c r="H22" s="19"/>
      <c r="I22" s="19"/>
      <c r="J22" s="34"/>
      <c r="K22" s="13"/>
      <c r="L22" s="6"/>
      <c r="M22" s="13"/>
      <c r="N22" s="13"/>
      <c r="O22" s="13"/>
    </row>
    <row r="23" spans="1:15" ht="13.8" customHeight="1" x14ac:dyDescent="0.3">
      <c r="A23" s="243" t="s">
        <v>8</v>
      </c>
      <c r="B23" s="251" t="s">
        <v>2</v>
      </c>
      <c r="C23" s="251" t="s">
        <v>3</v>
      </c>
      <c r="D23" s="251" t="s">
        <v>4</v>
      </c>
      <c r="E23" s="251" t="s">
        <v>5</v>
      </c>
      <c r="F23" s="245" t="s">
        <v>13</v>
      </c>
      <c r="G23" s="60"/>
      <c r="L23" s="6"/>
      <c r="M23" s="13"/>
      <c r="N23" s="13"/>
      <c r="O23" s="13"/>
    </row>
    <row r="24" spans="1:15" x14ac:dyDescent="0.3">
      <c r="A24" s="111" t="s">
        <v>6</v>
      </c>
      <c r="B24" s="216">
        <v>0</v>
      </c>
      <c r="C24" s="216">
        <v>0</v>
      </c>
      <c r="D24" s="216">
        <v>3.06</v>
      </c>
      <c r="E24" s="216">
        <v>0.02</v>
      </c>
      <c r="F24" s="133">
        <f>SUM(B24:E24)</f>
        <v>3.08</v>
      </c>
      <c r="G24" s="60"/>
      <c r="L24" s="13"/>
      <c r="M24" s="13"/>
      <c r="N24" s="13"/>
      <c r="O24" s="13"/>
    </row>
    <row r="25" spans="1:15" x14ac:dyDescent="0.3">
      <c r="A25" s="111" t="s">
        <v>38</v>
      </c>
      <c r="B25" s="216">
        <v>0</v>
      </c>
      <c r="C25" s="216">
        <v>0</v>
      </c>
      <c r="D25" s="216">
        <v>0</v>
      </c>
      <c r="E25" s="216">
        <v>0</v>
      </c>
      <c r="F25" s="133">
        <f>SUM(B25:E25)</f>
        <v>0</v>
      </c>
      <c r="G25" s="60"/>
      <c r="L25" s="13"/>
      <c r="M25" s="13"/>
      <c r="N25" s="13"/>
      <c r="O25" s="13"/>
    </row>
    <row r="26" spans="1:15" x14ac:dyDescent="0.3">
      <c r="A26" s="111" t="s">
        <v>7</v>
      </c>
      <c r="B26" s="216">
        <v>0</v>
      </c>
      <c r="C26" s="216">
        <v>0</v>
      </c>
      <c r="D26" s="216">
        <v>0.17</v>
      </c>
      <c r="E26" s="216">
        <v>0</v>
      </c>
      <c r="F26" s="133">
        <f>SUM(B26:E26)</f>
        <v>0.17</v>
      </c>
      <c r="G26" s="60"/>
      <c r="L26" s="6"/>
      <c r="M26" s="13"/>
      <c r="N26" s="13"/>
      <c r="O26" s="13"/>
    </row>
    <row r="27" spans="1:15" x14ac:dyDescent="0.3">
      <c r="A27" s="244" t="s">
        <v>243</v>
      </c>
      <c r="B27" s="256">
        <v>0</v>
      </c>
      <c r="C27" s="256">
        <v>0</v>
      </c>
      <c r="D27" s="256">
        <v>2.23</v>
      </c>
      <c r="E27" s="256">
        <v>0</v>
      </c>
      <c r="F27" s="257">
        <f>SUM(B27:E27)</f>
        <v>2.23</v>
      </c>
      <c r="G27" s="263">
        <f>IF(F32=0,0,F27/$F$32)</f>
        <v>0.3462732919254658</v>
      </c>
      <c r="L27" s="6"/>
      <c r="M27" s="13"/>
      <c r="N27" s="13"/>
      <c r="O27" s="13"/>
    </row>
    <row r="28" spans="1:15" ht="43.2" x14ac:dyDescent="0.3">
      <c r="A28" s="254" t="s">
        <v>244</v>
      </c>
      <c r="B28" s="253">
        <v>0</v>
      </c>
      <c r="C28" s="253">
        <v>0</v>
      </c>
      <c r="D28" s="253">
        <v>0</v>
      </c>
      <c r="E28" s="253">
        <v>0</v>
      </c>
      <c r="F28" s="234">
        <f>SUM(B28:E28)</f>
        <v>0</v>
      </c>
      <c r="G28" s="264">
        <f>IF(F32=0,0,F28/$F$32)</f>
        <v>0</v>
      </c>
      <c r="L28" s="6"/>
      <c r="M28" s="13"/>
      <c r="N28" s="13"/>
      <c r="O28" s="13"/>
    </row>
    <row r="29" spans="1:15" x14ac:dyDescent="0.3">
      <c r="A29" s="254"/>
      <c r="B29" s="276"/>
      <c r="C29" s="276"/>
      <c r="D29" s="276"/>
      <c r="E29" s="277" t="s">
        <v>247</v>
      </c>
      <c r="F29" s="275">
        <v>0.96</v>
      </c>
      <c r="G29" s="263">
        <f>IF(F32=0,0,F29/$F$32)</f>
        <v>0.14906832298136644</v>
      </c>
      <c r="L29" s="6"/>
      <c r="M29" s="13"/>
      <c r="N29" s="13"/>
      <c r="O29" s="13"/>
    </row>
    <row r="30" spans="1:15" x14ac:dyDescent="0.3">
      <c r="A30" s="14"/>
      <c r="B30" s="278"/>
      <c r="C30" s="278"/>
      <c r="D30" s="278"/>
      <c r="E30" s="279" t="s">
        <v>39</v>
      </c>
      <c r="F30" s="275">
        <v>0</v>
      </c>
      <c r="G30" s="263">
        <f>IF(F32=0,0,F30/$F$32)</f>
        <v>0</v>
      </c>
      <c r="H30" s="19"/>
      <c r="I30" s="19"/>
      <c r="J30" s="34"/>
      <c r="K30" s="13"/>
      <c r="L30" s="6"/>
      <c r="M30" s="13"/>
      <c r="N30" s="13"/>
      <c r="O30" s="13"/>
    </row>
    <row r="31" spans="1:15" x14ac:dyDescent="0.3">
      <c r="A31" s="14"/>
      <c r="B31" s="356" t="s">
        <v>248</v>
      </c>
      <c r="C31" s="356"/>
      <c r="D31" s="356"/>
      <c r="E31" s="356"/>
      <c r="F31" s="273">
        <f>F19</f>
        <v>0</v>
      </c>
      <c r="G31" s="263">
        <f>IF(F32=0,0,F31/$F$32)</f>
        <v>0</v>
      </c>
      <c r="H31" s="19"/>
      <c r="I31" s="19"/>
      <c r="J31" s="34"/>
      <c r="K31" s="13"/>
      <c r="L31" s="6"/>
      <c r="M31" s="13"/>
      <c r="N31" s="13"/>
      <c r="O31" s="13"/>
    </row>
    <row r="32" spans="1:15" x14ac:dyDescent="0.3">
      <c r="A32" s="14"/>
      <c r="B32" s="278"/>
      <c r="C32" s="278"/>
      <c r="D32" s="280"/>
      <c r="E32" s="281" t="s">
        <v>9</v>
      </c>
      <c r="F32" s="235">
        <f>SUM(F24:F31)</f>
        <v>6.44</v>
      </c>
      <c r="G32" s="60"/>
      <c r="H32" s="1"/>
      <c r="I32" s="33"/>
      <c r="J32" s="33"/>
      <c r="K32" s="13"/>
      <c r="L32" s="6"/>
      <c r="M32" s="13"/>
      <c r="N32" s="13"/>
      <c r="O32" s="13"/>
    </row>
    <row r="33" spans="1:15" ht="7.2" customHeight="1" x14ac:dyDescent="0.3">
      <c r="A33" s="14"/>
      <c r="B33" s="13"/>
      <c r="C33" s="13"/>
      <c r="D33" s="255"/>
      <c r="E33" s="145"/>
      <c r="F33" s="255"/>
      <c r="G33" s="60"/>
      <c r="H33" s="1"/>
      <c r="I33" s="33"/>
      <c r="J33" s="33"/>
      <c r="K33" s="13"/>
      <c r="L33" s="6"/>
      <c r="M33" s="13"/>
      <c r="N33" s="13"/>
      <c r="O33" s="13"/>
    </row>
    <row r="34" spans="1:15" x14ac:dyDescent="0.3">
      <c r="A34" s="14"/>
      <c r="B34" s="13"/>
      <c r="C34" s="13"/>
      <c r="D34" s="255"/>
      <c r="E34" s="260" t="s">
        <v>220</v>
      </c>
      <c r="F34" s="235">
        <f>F31+F30+F28+F27</f>
        <v>2.23</v>
      </c>
      <c r="G34" s="60"/>
      <c r="H34" s="1"/>
      <c r="I34" s="33"/>
      <c r="J34" s="33"/>
      <c r="K34" s="13"/>
      <c r="L34" s="6"/>
      <c r="M34" s="13"/>
      <c r="N34" s="13"/>
      <c r="O34" s="13"/>
    </row>
    <row r="35" spans="1:15" x14ac:dyDescent="0.3">
      <c r="A35" s="14"/>
      <c r="B35" s="13"/>
      <c r="C35" s="13"/>
      <c r="D35" s="255"/>
      <c r="E35" s="261" t="s">
        <v>202</v>
      </c>
      <c r="F35" s="259">
        <f>IF(F18-(F27+F28+F30+F29+F31)&lt;0,0,F18-(F27+F28+F30+F29+F31))</f>
        <v>0</v>
      </c>
      <c r="G35" s="263">
        <f>IF(F18=0,0,F35/F18)</f>
        <v>0</v>
      </c>
      <c r="H35" s="1"/>
      <c r="I35" s="33"/>
      <c r="J35" s="33"/>
      <c r="K35" s="13"/>
      <c r="L35" s="6"/>
      <c r="M35" s="13"/>
      <c r="N35" s="13"/>
      <c r="O35" s="13"/>
    </row>
    <row r="36" spans="1:15" x14ac:dyDescent="0.3">
      <c r="A36" s="14"/>
      <c r="B36" s="13"/>
      <c r="C36" s="13"/>
      <c r="D36" s="255"/>
      <c r="E36" s="261" t="s">
        <v>245</v>
      </c>
      <c r="F36" s="259">
        <f>IF((F18-F29-F28-F30)&lt;0,0,(F18-F29-F28-F30))</f>
        <v>0.45999999999999996</v>
      </c>
      <c r="G36" s="263">
        <f>IF(F18-F28-F29=0,0,F36/(F18-F28-F29))</f>
        <v>1</v>
      </c>
      <c r="H36" s="1"/>
      <c r="I36" s="33"/>
      <c r="J36" s="33"/>
      <c r="K36" s="13"/>
      <c r="L36" s="6"/>
      <c r="M36" s="13"/>
      <c r="N36" s="13"/>
      <c r="O36" s="13"/>
    </row>
    <row r="37" spans="1:15" ht="7.2" customHeight="1" x14ac:dyDescent="0.3">
      <c r="A37" s="14"/>
      <c r="B37" s="13"/>
      <c r="C37" s="13"/>
      <c r="D37" s="255"/>
      <c r="E37" s="258"/>
      <c r="F37" s="19"/>
      <c r="G37" s="60"/>
      <c r="H37" s="1"/>
      <c r="I37" s="33"/>
      <c r="J37" s="33"/>
      <c r="K37" s="13"/>
      <c r="L37" s="6"/>
      <c r="M37" s="13"/>
      <c r="N37" s="13"/>
      <c r="O37" s="13"/>
    </row>
    <row r="38" spans="1:15" ht="30.6" customHeight="1" thickBot="1" x14ac:dyDescent="0.35">
      <c r="A38" s="402" t="str">
        <f>IF(F32=F20,"","WARNING: Pre development and post development areas don't match, so evaluation of the Hydrologic Condition Method is not appropriate within this drainage area. Designer may consider HCM across drainage areas.")</f>
        <v/>
      </c>
      <c r="B38" s="403"/>
      <c r="C38" s="403"/>
      <c r="D38" s="403"/>
      <c r="E38" s="403"/>
      <c r="F38" s="403"/>
      <c r="G38" s="404"/>
      <c r="H38" s="1"/>
      <c r="I38" s="33"/>
      <c r="J38" s="33"/>
      <c r="K38" s="13"/>
      <c r="L38" s="6"/>
      <c r="M38" s="13"/>
      <c r="N38" s="13"/>
      <c r="O38" s="13"/>
    </row>
    <row r="39" spans="1:15" ht="43.2" x14ac:dyDescent="0.3">
      <c r="A39" s="405" t="s">
        <v>242</v>
      </c>
      <c r="B39" s="406"/>
      <c r="C39" s="57"/>
      <c r="D39" s="236"/>
      <c r="E39" s="237" t="s">
        <v>219</v>
      </c>
      <c r="F39" s="238" t="s">
        <v>218</v>
      </c>
      <c r="G39" s="58"/>
      <c r="H39" s="1"/>
      <c r="I39" s="33"/>
      <c r="K39" s="13"/>
      <c r="L39" s="6"/>
      <c r="M39" s="13"/>
      <c r="N39" s="13"/>
      <c r="O39" s="13"/>
    </row>
    <row r="40" spans="1:15" ht="14.4" customHeight="1" x14ac:dyDescent="0.3">
      <c r="A40" s="407"/>
      <c r="B40" s="408"/>
      <c r="C40" s="13"/>
      <c r="D40" s="20" t="s">
        <v>216</v>
      </c>
      <c r="E40" s="198">
        <v>1.76</v>
      </c>
      <c r="F40" s="171">
        <v>639</v>
      </c>
      <c r="G40" s="60"/>
      <c r="H40" s="1"/>
      <c r="I40" s="33"/>
      <c r="J40" s="33"/>
      <c r="K40" s="13"/>
      <c r="L40" s="6"/>
      <c r="M40" s="13"/>
      <c r="N40" s="13"/>
      <c r="O40" s="13"/>
    </row>
    <row r="41" spans="1:15" ht="14.4" customHeight="1" x14ac:dyDescent="0.3">
      <c r="A41" s="407"/>
      <c r="B41" s="408"/>
      <c r="C41" s="13"/>
      <c r="D41" s="20" t="s">
        <v>217</v>
      </c>
      <c r="E41" s="198">
        <v>1.1499999999999999</v>
      </c>
      <c r="F41" s="171">
        <v>639</v>
      </c>
      <c r="G41" s="60"/>
      <c r="H41" s="1"/>
      <c r="I41" s="33"/>
      <c r="J41" s="33"/>
      <c r="K41" s="13"/>
      <c r="L41" s="6"/>
      <c r="M41" s="13"/>
      <c r="N41" s="13"/>
      <c r="O41" s="13"/>
    </row>
    <row r="42" spans="1:15" ht="7.2" customHeight="1" thickBot="1" x14ac:dyDescent="0.35">
      <c r="A42" s="16"/>
      <c r="B42" s="92"/>
      <c r="C42" s="192"/>
      <c r="D42" s="192"/>
      <c r="E42" s="192"/>
      <c r="F42" s="193"/>
      <c r="G42" s="70"/>
      <c r="H42" s="1"/>
      <c r="I42" s="33"/>
      <c r="J42" s="33"/>
      <c r="K42" s="13"/>
      <c r="L42" s="6"/>
      <c r="M42" s="13"/>
      <c r="N42" s="13"/>
      <c r="O42" s="13"/>
    </row>
    <row r="43" spans="1:15" ht="14.4" customHeight="1" x14ac:dyDescent="0.35">
      <c r="A43" s="56" t="s">
        <v>59</v>
      </c>
      <c r="B43" s="240"/>
      <c r="C43" s="57"/>
      <c r="D43" s="123" t="s">
        <v>60</v>
      </c>
      <c r="E43" s="123" t="s">
        <v>61</v>
      </c>
      <c r="F43" s="123" t="s">
        <v>62</v>
      </c>
      <c r="G43" s="58"/>
      <c r="K43" s="10"/>
      <c r="L43" s="13"/>
      <c r="M43" s="13"/>
      <c r="N43" s="13"/>
      <c r="O43" s="13"/>
    </row>
    <row r="44" spans="1:15" ht="14.4" customHeight="1" x14ac:dyDescent="0.3">
      <c r="A44" s="399" t="s">
        <v>112</v>
      </c>
      <c r="B44" s="386"/>
      <c r="C44" s="400"/>
      <c r="D44" s="265">
        <f>(IF($C$10&lt;0.2*Lookup!$B$13,0,(('SN3'!$C$10-0.2*Lookup!$B$13)^2/('SN3'!$C$10+0.8*Lookup!$B$13)))*$B$15+IF($C$10&lt;0.2*Lookup!$B$14,0,(('SN3'!$C$10-0.2*Lookup!$B$14)^2/('SN3'!$C$10+0.8*Lookup!$B$14)))*$B$16+IF($C$10&lt;0.2*Lookup!$B$15,0,(('SN3'!$C$10-0.2*Lookup!$B$15)^2/('SN3'!$C$10+0.8*Lookup!$B$15)))*$B$17++IF($C$10&lt;0.2*Lookup!$B$17,0,(('SN3'!$C$10-0.2*Lookup!$B$17)^2/('SN3'!$C$10+0.8*Lookup!$B$17)))*$B$18+IF($C$10&lt;0.2*Lookup!$C$13,0,(('SN3'!$C$10-0.2*Lookup!$C$13)^2/('SN3'!C$10+0.8*Lookup!$C$13)))*$C$15+IF($C$10&lt;0.2*Lookup!$C$14,0,(('SN3'!$C$10-0.2*Lookup!$C$14)^2/('SN3'!$C$10+0.8*Lookup!$C$14)))*$C$16+IF($C$10&lt;0.2*Lookup!$C$15,0,(('SN3'!$C$10-0.2*Lookup!$C$15)^2/('SN3'!$C$10+0.8*Lookup!$C$15)))*$C$17+IF($C$10&lt;0.2*Lookup!$C$17,0,(('SN3'!$C$10-0.2*Lookup!$C$17)^2/('SN3'!$C$10+0.8*Lookup!$C$17)))*$C$18+IF($C$10&lt;0.2*Lookup!$D$13,0,(('SN3'!$C$10-0.2*Lookup!$D$13)^2/('SN3'!$C$10+0.8*Lookup!$D$13)))*$D$15+IF($C$10&lt;0.2*Lookup!$D$14,0,(('SN3'!$C$10-0.2*Lookup!$D$14)^2/('SN3'!$C$10+0.8*Lookup!$D$14)))*$D$16+IF($C$10&lt;0.2*Lookup!$D$15,0,(('SN3'!$C$10-0.2*Lookup!$D$15)^2/('SN3'!$C$10+0.8*Lookup!$D$15)))*$D$17+IF($C$10&lt;0.2*Lookup!$D$17,0,(('SN3'!$C$10-0.2*Lookup!$D$17)^2/('SN3'!$C$10+0.8*Lookup!$D$17)))*$D$18+IF($C$10&lt;0.2*Lookup!$E$13,0,(('SN3'!$C$10-0.2*Lookup!$E$13)^2/('SN3'!$C$10+0.8*Lookup!$E$13)))*$E$15+IF($C$10&lt;0.2*Lookup!$E$14,0,(('SN3'!$C$10-0.2*Lookup!$E$14)^2/('SN3'!$C$10+0.8*Lookup!$E$14)))*$E$16+IF($C$10&lt;0.2*Lookup!$E$15,0,(('SN3'!$C$10-0.2*Lookup!$E$15)^2/('SN3'!$C$10+0.8*Lookup!$E$15)))*$E$17+IF($C$10&lt;0.2*Lookup!$E$17,0,(('SN3'!$C$10-0.2*Lookup!$E$17)^2/('SN3'!$C$10+0.8*Lookup!$E$17)))*$E$18)/12</f>
        <v>0.41697394494286488</v>
      </c>
      <c r="E44" s="265">
        <f>(IF($D$10&lt;0.2*Lookup!$B$13,0,(('SN3'!$D$10-0.2*Lookup!$B$13)^2/('SN3'!$D$10+0.8*Lookup!$B$13)))*$B$15+IF($D$10&lt;0.2*Lookup!$B$14,0,(('SN3'!$D$10-0.2*Lookup!$B$14)^2/('SN3'!$D$10+0.8*Lookup!$B$14)))*$B$16+IF($D$10&lt;0.2*Lookup!$B$15,0,(('SN3'!$D$10-0.2*Lookup!$B$15)^2/('SN3'!$D$10+0.8*Lookup!$B$15)))*$B$17++IF($D$10&lt;0.2*Lookup!$B$17,0,(('SN3'!$D$10-0.2*Lookup!$B$17)^2/('SN3'!$D$10+0.8*Lookup!$B$17)))*$B$18+IF($D$10&lt;0.2*Lookup!$C$13,0,(('SN3'!$D$10-0.2*Lookup!$C$13)^2/('SN3'!C$10+0.8*Lookup!$C$13)))*$C$15+IF($D$10&lt;0.2*Lookup!$C$14,0,(('SN3'!$D$10-0.2*Lookup!$C$14)^2/('SN3'!$D$10+0.8*Lookup!$C$14)))*$C$16+IF($D$10&lt;0.2*Lookup!$C$15,0,(('SN3'!$D$10-0.2*Lookup!$C$15)^2/('SN3'!$D$10+0.8*Lookup!$C$15)))*$C$17+IF($D$10&lt;0.2*Lookup!$C$17,0,(('SN3'!$D$10-0.2*Lookup!$C$17)^2/('SN3'!$D$10+0.8*Lookup!$C$17)))*$C$18+IF($D$10&lt;0.2*Lookup!$D$13,0,(('SN3'!$D$10-0.2*Lookup!$D$13)^2/('SN3'!$D$10+0.8*Lookup!$D$13)))*$D$15+IF($D$10&lt;0.2*Lookup!$D$14,0,(('SN3'!$D$10-0.2*Lookup!$D$14)^2/('SN3'!$D$10+0.8*Lookup!$D$14)))*$D$16+IF($D$10&lt;0.2*Lookup!$D$15,0,(('SN3'!$D$10-0.2*Lookup!$D$15)^2/('SN3'!$D$10+0.8*Lookup!$D$15)))*$D$17+IF($D$10&lt;0.2*Lookup!$D$17,0,(('SN3'!$D$10-0.2*Lookup!$D$17)^2/('SN3'!$D$10+0.8*Lookup!$D$17)))*$D$18+IF($D$10&lt;0.2*Lookup!$E$13,0,(('SN3'!$D$10-0.2*Lookup!$E$13)^2/('SN3'!$D$10+0.8*Lookup!$E$13)))*$E$15+IF($D$10&lt;0.2*Lookup!$E$14,0,(('SN3'!$D$10-0.2*Lookup!$E$14)^2/('SN3'!$D$10+0.8*Lookup!$E$14)))*$E$16+IF($D$10&lt;0.2*Lookup!$E$15,0,(('SN3'!$D$10-0.2*Lookup!$E$15)^2/('SN3'!$D$10+0.8*Lookup!$E$15)))*$E$17++IF($D$10&lt;0.2*Lookup!$E$17,0,(('SN3'!$D$10-0.2*Lookup!$E$17)^2/('SN3'!$D$10+0.8*Lookup!$E$17)))*$E$18)/12</f>
        <v>1.1013239146687188</v>
      </c>
      <c r="F44" s="265">
        <f>(IF($E$10&lt;0.2*Lookup!$B$13,0,(('SN3'!$E$10-0.2*Lookup!$B$13)^2/('SN3'!$E$10+0.8*Lookup!$B$13)))*$B$15+IF($E$10&lt;0.2*Lookup!$B$14,0,(('SN3'!$E$10-0.2*Lookup!$B$14)^2/('SN3'!$E$10+0.8*Lookup!$B$14)))*$B$16+IF($E$10&lt;0.2*Lookup!$B$15,0,(('SN3'!$E$10-0.2*Lookup!$B$15)^2/('SN3'!$E$10+0.8*Lookup!$B$15)))*$B$17++IF($E$10&lt;0.2*Lookup!$B$17,0,(('SN3'!$E$10-0.2*Lookup!$B$17)^2/('SN3'!$E$10+0.8*Lookup!$B$17)))*$B$18+IF($E$10&lt;0.2*Lookup!$C$13,0,(('SN3'!$E$10-0.2*Lookup!$C$13)^2/('SN3'!C$10+0.8*Lookup!$C$13)))*$C$15+IF($E$10&lt;0.2*Lookup!$C$14,0,(('SN3'!$E$10-0.2*Lookup!$C$14)^2/('SN3'!$E$10+0.8*Lookup!$C$14)))*$C$16+IF($E$10&lt;0.2*Lookup!$C$15,0,(('SN3'!$E$10-0.2*Lookup!$C$15)^2/('SN3'!$E$10+0.8*Lookup!$C$15)))*$C$17+IF($E$10&lt;0.2*Lookup!$C$17,0,(('SN3'!$E$10-0.2*Lookup!$C$17)^2/('SN3'!$E$10+0.8*Lookup!$C$17)))*$C$18+IF($E$10&lt;0.2*Lookup!$D$13,0,(('SN3'!$E$10-0.2*Lookup!$D$13)^2/('SN3'!$E$10+0.8*Lookup!$D$13)))*$D$15+IF($E$10&lt;0.2*Lookup!$D$14,0,(('SN3'!$E$10-0.2*Lookup!$D$14)^2/('SN3'!$E$10+0.8*Lookup!$D$14)))*$D$16+IF($E$10&lt;0.2*Lookup!$D$15,0,(('SN3'!$E$10-0.2*Lookup!$D$15)^2/('SN3'!$E$10+0.8*Lookup!$D$15)))*$D$17+IF($E$10&lt;0.2*Lookup!$D$17,0,(('SN3'!$E$10-0.2*Lookup!$D$17)^2/('SN3'!$E$10+0.8*Lookup!$D$17)))*$D$18+IF($E$10&lt;0.2*Lookup!$E$13,0,(('SN3'!$E$10-0.2*Lookup!$E$13)^2/('SN3'!$E$10+0.8*Lookup!$E$13)))*$E$15+IF($E$10&lt;0.2*Lookup!$E$14,0,(('SN3'!$E$10-0.2*Lookup!$E$14)^2/('SN3'!$E$10+0.8*Lookup!$E$14)))*$E$16+IF($E$10&lt;0.2*Lookup!$E$15,0,(('SN3'!$E$10-0.2*Lookup!$E$15)^2/('SN3'!$E$10+0.8*Lookup!$E$15)))*$E$17++IF($E$10&lt;0.2*Lookup!$E$17,0,(('SN3'!$E$10-0.2*Lookup!$E$17)^2/('SN3'!$E$10+0.8*Lookup!$E$17)))*$E$18)/12</f>
        <v>2.0546312890941016</v>
      </c>
      <c r="G44" s="60"/>
      <c r="K44" s="13"/>
      <c r="L44" s="6"/>
      <c r="M44" s="13"/>
      <c r="N44" s="13"/>
      <c r="O44" s="13"/>
    </row>
    <row r="45" spans="1:15" ht="14.4" customHeight="1" x14ac:dyDescent="0.3">
      <c r="A45" s="399" t="s">
        <v>113</v>
      </c>
      <c r="B45" s="386"/>
      <c r="C45" s="400"/>
      <c r="D45" s="265">
        <f>(IF($C$10&lt;0.2*Lookup!$B$13,0,(('SN3'!$C$10-0.2*Lookup!$B$13)^2/('SN3'!$C$10+0.8*Lookup!$B$13)))*$B$24+IF($C$10&lt;0.2*Lookup!$B$14,0,(('SN3'!$C$10-0.2*Lookup!$B$14)^2/('SN3'!$C$10+0.8*Lookup!$B$14)))*$B$25+IF($C$10&lt;0.2*Lookup!$B$15,0,(('SN3'!$C$10-0.2*Lookup!$B$15)^2/('SN3'!$C$10+0.8*Lookup!$B$15)))*$B$26+IF($C$10&lt;0.2*Lookup!$C$13,0,(('SN3'!$C$10-0.2*Lookup!$C$13)^2/('SN3'!C$10+0.8*Lookup!$C$13)))*$C$24+IF($C$10&lt;0.2*Lookup!$C$14,0,(('SN3'!$C$10-0.2*Lookup!$C$14)^2/('SN3'!$C$10+0.8*Lookup!$C$14)))*$C$25+IF($C$10&lt;0.2*Lookup!$C$15,0,(('SN3'!$C$10-0.2*Lookup!$C$15)^2/('SN3'!$C$10+0.8*Lookup!$C$15)))*$C$26+IF($C$10&lt;0.2*Lookup!$D$13,0,(('SN3'!$C$10-0.2*Lookup!$D$13)^2/('SN3'!$C$10+0.8*Lookup!$D$13)))*$D$24+IF($C$10&lt;0.2*Lookup!$D$14,0,(('SN3'!$C$10-0.2*Lookup!$D$14)^2/('SN3'!$C$10+0.8*Lookup!$D$14)))*$D$25+IF($C$10&lt;0.2*Lookup!$D$15,0,(('SN3'!$C$10-0.2*Lookup!$D$15)^2/('SN3'!$C$10+0.8*Lookup!$D$15)))*$D$26+IF($C$10&lt;0.2*Lookup!$E$13,0,(('SN3'!$C$10-0.2*Lookup!$E$13)^2/('SN3'!$C$10+0.8*Lookup!$E$13)))*$E$24+IF($C$10&lt;0.2*Lookup!$E$14,0,(('SN3'!$C$10-0.2*Lookup!$E$14)^2/('SN3'!$C$10+0.8*Lookup!$E$14)))*$E$25+IF($C$10&lt;0.2*Lookup!$E$15,0,(('SN3'!$C$10-0.2*Lookup!$E$15)^2/('SN3'!$C$10+0.8*Lookup!$E$15)))*$E$26+(($C$10-0.2*Lookup!B17)^2/($C$10+0.8*Lookup!B17)*(F27+F28+F29+F30)))/12</f>
        <v>0.6441919190839277</v>
      </c>
      <c r="E45" s="265">
        <f>(IF($D$10&lt;0.2*Lookup!$B$13,0,(('SN3'!$D$10-0.2*Lookup!$B$13)^2/('SN3'!$D$10+0.8*Lookup!$B$13)))*$B$24+IF($D$10&lt;0.2*Lookup!$B$14,0,(('SN3'!$D$10-0.2*Lookup!$B$14)^2/('SN3'!$D$10+0.8*Lookup!$B$14)))*$B$25+IF($D$10&lt;0.2*Lookup!$B$15,0,(('SN3'!$D$10-0.2*Lookup!$B$15)^2/('SN3'!$D$10+0.8*Lookup!$B$15)))*$B$26+IF($D$10&lt;0.2*Lookup!$C$13,0,(('SN3'!$D$10-0.2*Lookup!$C$13)^2/('SN3'!C$10+0.8*Lookup!$C$13)))*$C$24+IF($D$10&lt;0.2*Lookup!$C$14,0,(('SN3'!$D$10-0.2*Lookup!$C$14)^2/('SN3'!$D$10+0.8*Lookup!$C$14)))*$C$25+IF($D$10&lt;0.2*Lookup!$C$15,0,(('SN3'!$D$10-0.2*Lookup!$C$15)^2/('SN3'!$D$10+0.8*Lookup!$C$15)))*$C$26+IF($D$10&lt;0.2*Lookup!$D$13,0,(('SN3'!$D$10-0.2*Lookup!$D$13)^2/('SN3'!$D$10+0.8*Lookup!$D$13)))*$D$24+IF($D$10&lt;0.2*Lookup!$D$14,0,(('SN3'!$D$10-0.2*Lookup!$D$14)^2/('SN3'!$D$10+0.8*Lookup!$D$14)))*$D$25+IF($D$10&lt;0.2*Lookup!$D$15,0,(('SN3'!$D$10-0.2*Lookup!$D$15)^2/('SN3'!$D$10+0.8*Lookup!$D$15)))*$D$26+IF($D$10&lt;0.2*Lookup!$E$13,0,(('SN3'!$D$10-0.2*Lookup!$E$13)^2/('SN3'!$D$10+0.8*Lookup!$E$13)))*$E$24+IF($D$10&lt;0.2*Lookup!$E$14,0,(('SN3'!$D$10-0.2*Lookup!$E$14)^2/('SN3'!$D$10+0.8*Lookup!$E$14)))*$E$25+IF($D$10&lt;0.2*Lookup!$E$15,0,(('SN3'!$D$10-0.2*Lookup!$E$15)^2/('SN3'!$D$10+0.8*Lookup!$E$15)))*$E$26+(($D$10-0.2*Lookup!B17)^2/($D$10+0.8*Lookup!B17)*(F27+F28+F29+F30)))/12</f>
        <v>1.4255591330593287</v>
      </c>
      <c r="F45" s="265">
        <f>(IF($E$10&lt;0.2*Lookup!$B$13,0,(('SN3'!$E$10-0.2*Lookup!$B$13)^2/('SN3'!$E$10+0.8*Lookup!$B$13)))*$B$24+IF($E$10&lt;0.2*Lookup!$B$14,0,(('SN3'!$E$10-0.2*Lookup!$B$14)^2/('SN3'!$E$10+0.8*Lookup!$B$14)))*$B$25+IF($E$10&lt;0.2*Lookup!$B$15,0,(('SN3'!$E$10-0.2*Lookup!$B$15)^2/('SN3'!$E$10+0.8*Lookup!$B$15)))*$B$26+IF($E$10&lt;0.2*Lookup!$C$13,0,(('SN3'!$E$10-0.2*Lookup!$C$13)^2/('SN3'!C$10+0.8*Lookup!$C$13)))*$C$24+IF($E$10&lt;0.2*Lookup!$C$14,0,(('SN3'!$E$10-0.2*Lookup!$C$14)^2/('SN3'!$E$10+0.8*Lookup!$C$14)))*$C$25+IF($E$10&lt;0.2*Lookup!$C$15,0,(('SN3'!$E$10-0.2*Lookup!$C$15)^2/('SN3'!$E$10+0.8*Lookup!$C$15)))*$C$26+IF($E$10&lt;0.2*Lookup!$D$13,0,(('SN3'!$E$10-0.2*Lookup!$D$13)^2/('SN3'!$E$10+0.8*Lookup!$D$13)))*$D$24+IF($E$10&lt;0.2*Lookup!$D$14,0,(('SN3'!$E$10-0.2*Lookup!$D$14)^2/('SN3'!$E$10+0.8*Lookup!$D$14)))*$D$25+IF($E$10&lt;0.2*Lookup!$D$15,0,(('SN3'!$E$10-0.2*Lookup!$D$15)^2/('SN3'!$E$10+0.8*Lookup!$D$15)))*$D$26+IF($E$10&lt;0.2*Lookup!$E$13,0,(('SN3'!$E$10-0.2*Lookup!$E$13)^2/('SN3'!$E$10+0.8*Lookup!$E$13)))*$E$24+IF($E$10&lt;0.2*Lookup!$E$14,0,(('SN3'!$E$10-0.2*Lookup!$E$14)^2/('SN3'!$E$10+0.8*Lookup!$E$14)))*$E$25+IF($E$10&lt;0.2*Lookup!$E$15,0,(('SN3'!$E$10-0.2*Lookup!$E$15)^2/('SN3'!$E$10+0.8*Lookup!$E$15)))*$E$26+(($E$10-0.2*Lookup!B17)^2/($E$10+0.8*Lookup!B17)*(F27+F28+F29+F30)))/12</f>
        <v>2.4441410482271055</v>
      </c>
      <c r="G45" s="60"/>
      <c r="K45" s="13"/>
      <c r="L45" s="6"/>
      <c r="M45" s="13"/>
      <c r="N45" s="13"/>
      <c r="O45" s="13"/>
    </row>
    <row r="46" spans="1:15" ht="15.6" customHeight="1" thickBot="1" x14ac:dyDescent="0.35">
      <c r="A46" s="16"/>
      <c r="B46" s="89"/>
      <c r="C46" s="92"/>
      <c r="D46" s="93"/>
      <c r="E46" s="89"/>
      <c r="F46" s="89"/>
      <c r="G46" s="70"/>
      <c r="K46" s="13"/>
      <c r="L46" s="6"/>
      <c r="M46" s="13"/>
      <c r="N46" s="13"/>
      <c r="O46" s="13"/>
    </row>
    <row r="47" spans="1:15" ht="15.6" x14ac:dyDescent="0.3">
      <c r="A47" s="56" t="s">
        <v>64</v>
      </c>
      <c r="B47" s="85"/>
      <c r="C47" s="86"/>
      <c r="D47" s="87"/>
      <c r="E47" s="85"/>
      <c r="F47" s="85"/>
      <c r="G47" s="58"/>
      <c r="K47" s="13"/>
      <c r="L47" s="6"/>
      <c r="M47" s="13"/>
      <c r="N47" s="13"/>
      <c r="O47" s="13"/>
    </row>
    <row r="48" spans="1:15" ht="44.4" customHeight="1" x14ac:dyDescent="0.3">
      <c r="A48" s="394" t="s">
        <v>214</v>
      </c>
      <c r="B48" s="395"/>
      <c r="C48" s="395"/>
      <c r="D48" s="395"/>
      <c r="E48" s="395"/>
      <c r="F48" s="395"/>
      <c r="G48" s="396"/>
      <c r="K48" s="13"/>
      <c r="L48" s="6"/>
      <c r="M48" s="13"/>
      <c r="N48" s="13"/>
      <c r="O48" s="13"/>
    </row>
    <row r="49" spans="1:15" ht="15.6" x14ac:dyDescent="0.35">
      <c r="A49" s="88" t="s">
        <v>71</v>
      </c>
      <c r="B49" s="117" t="s">
        <v>166</v>
      </c>
      <c r="C49" s="409" t="s">
        <v>71</v>
      </c>
      <c r="D49" s="410"/>
      <c r="E49" s="42" t="s">
        <v>166</v>
      </c>
      <c r="F49" s="19"/>
      <c r="G49" s="60"/>
      <c r="K49" s="13"/>
      <c r="L49" s="6"/>
      <c r="M49" s="13"/>
      <c r="N49" s="13"/>
      <c r="O49" s="13"/>
    </row>
    <row r="50" spans="1:15" x14ac:dyDescent="0.3">
      <c r="A50" s="195" t="s">
        <v>207</v>
      </c>
      <c r="B50" s="172">
        <v>1.4999999999999999E-2</v>
      </c>
      <c r="C50" s="351"/>
      <c r="D50" s="352"/>
      <c r="E50" s="173"/>
      <c r="F50" s="13"/>
      <c r="G50" s="60"/>
      <c r="I50" s="113"/>
      <c r="J50" s="113"/>
      <c r="K50" s="113"/>
      <c r="L50" s="6"/>
      <c r="M50" s="13"/>
      <c r="N50" s="13"/>
      <c r="O50" s="13"/>
    </row>
    <row r="51" spans="1:15" x14ac:dyDescent="0.3">
      <c r="A51" s="195" t="s">
        <v>212</v>
      </c>
      <c r="B51" s="172">
        <v>0.21299999999999999</v>
      </c>
      <c r="C51" s="351"/>
      <c r="D51" s="352"/>
      <c r="E51" s="173"/>
      <c r="F51" s="13"/>
      <c r="G51" s="60"/>
      <c r="I51" s="113"/>
      <c r="J51" s="113"/>
      <c r="K51" s="113"/>
      <c r="L51" s="6"/>
      <c r="M51" s="13"/>
      <c r="N51" s="13"/>
      <c r="O51" s="13"/>
    </row>
    <row r="52" spans="1:15" x14ac:dyDescent="0.3">
      <c r="A52" s="195"/>
      <c r="B52" s="172"/>
      <c r="C52" s="351"/>
      <c r="D52" s="352"/>
      <c r="E52" s="173"/>
      <c r="F52" s="13"/>
      <c r="G52" s="60"/>
      <c r="I52" s="113"/>
      <c r="J52" s="113"/>
      <c r="K52" s="113"/>
      <c r="L52" s="6"/>
      <c r="M52" s="13"/>
      <c r="N52" s="13"/>
      <c r="O52" s="13"/>
    </row>
    <row r="53" spans="1:15" x14ac:dyDescent="0.3">
      <c r="A53" s="195"/>
      <c r="B53" s="172"/>
      <c r="C53" s="351"/>
      <c r="D53" s="352"/>
      <c r="E53" s="173"/>
      <c r="F53" s="19"/>
      <c r="G53" s="60"/>
      <c r="K53" s="13"/>
      <c r="L53" s="6"/>
      <c r="M53" s="13"/>
      <c r="N53" s="13"/>
      <c r="O53" s="13"/>
    </row>
    <row r="54" spans="1:15" x14ac:dyDescent="0.3">
      <c r="A54" s="195"/>
      <c r="B54" s="172"/>
      <c r="C54" s="351"/>
      <c r="D54" s="352"/>
      <c r="E54" s="173"/>
      <c r="F54" s="19"/>
      <c r="G54" s="60"/>
      <c r="K54" s="13"/>
      <c r="L54" s="6"/>
      <c r="M54" s="13"/>
      <c r="N54" s="13"/>
      <c r="O54" s="13"/>
    </row>
    <row r="55" spans="1:15" ht="13.8" customHeight="1" thickBot="1" x14ac:dyDescent="0.35">
      <c r="A55" s="16"/>
      <c r="B55" s="89"/>
      <c r="C55" s="90"/>
      <c r="D55" s="90"/>
      <c r="E55" s="89"/>
      <c r="F55" s="89"/>
      <c r="G55" s="70"/>
      <c r="K55" s="13"/>
      <c r="L55" s="6"/>
      <c r="M55" s="13"/>
      <c r="N55" s="13"/>
      <c r="O55" s="13"/>
    </row>
    <row r="56" spans="1:15" ht="15.6" x14ac:dyDescent="0.3">
      <c r="A56" s="77" t="s">
        <v>109</v>
      </c>
      <c r="B56" s="78"/>
      <c r="C56" s="78"/>
      <c r="D56" s="79"/>
      <c r="E56" s="79"/>
      <c r="F56" s="79"/>
      <c r="G56" s="58"/>
      <c r="K56" s="13"/>
      <c r="L56" s="6"/>
      <c r="M56" s="13"/>
      <c r="N56" s="13"/>
      <c r="O56" s="13"/>
    </row>
    <row r="57" spans="1:15" ht="15.6" x14ac:dyDescent="0.3">
      <c r="A57" s="80" t="s">
        <v>33</v>
      </c>
      <c r="B57" s="47" t="s">
        <v>73</v>
      </c>
      <c r="C57" s="47" t="s">
        <v>74</v>
      </c>
      <c r="D57" s="48" t="s">
        <v>75</v>
      </c>
      <c r="E57" s="48" t="s">
        <v>120</v>
      </c>
      <c r="F57" s="48" t="s">
        <v>121</v>
      </c>
      <c r="G57" s="60"/>
      <c r="K57" s="13"/>
      <c r="L57" s="6"/>
      <c r="M57" s="13"/>
      <c r="N57" s="13"/>
      <c r="O57" s="13"/>
    </row>
    <row r="58" spans="1:15" ht="15.6" x14ac:dyDescent="0.3">
      <c r="A58" s="61" t="s">
        <v>118</v>
      </c>
      <c r="B58" s="266">
        <f>B69</f>
        <v>4.6458333333333331E-2</v>
      </c>
      <c r="C58" s="267">
        <f>B77</f>
        <v>0.1940833333333333</v>
      </c>
      <c r="D58" s="266">
        <f>D45-D44+(C10-0.2*Lookup!$B$17)^2/(C10+0.8*Lookup!$B$17)*$F$28/12-IF(C10-0.2*Lookup!$B$15&lt;0,0,(C10-0.2*Lookup!$B$15)^2/(C10+0.8*Lookup!$B$15))*$B$28/12-IF(C10-0.2*Lookup!$C$15&lt;0,0,(C10-0.2*Lookup!$C$15)^2/(C10+0.8*Lookup!$C$15))*$C$28/12-IF(C10-0.2*Lookup!$D$15&lt;0,0,(C10-0.2*Lookup!$D$15)^2/(C10+0.8*Lookup!$D$15))*$D$28/12-IF(C10-0.2*Lookup!$E$15&lt;0,0,(C10-0.2*Lookup!$E$15)^2/(C10+0.8*Lookup!$E$15)*$E$28)/12</f>
        <v>0.22721797414106282</v>
      </c>
      <c r="E58" s="266">
        <f>E45-E44+(D10-0.2*Lookup!$B$17)^2/(D10+0.8*Lookup!$B$17)*$F$28/12-IF(D10-0.2*Lookup!$B$15&lt;0,0,(D10-0.2*Lookup!$B$15)^2/(D10+0.8*Lookup!$B$15))*$B$28/12-IF(D10-0.2*Lookup!$C$15&lt;0,0,(D10-0.2*Lookup!$C$15)^2/(D10+0.8*Lookup!$C$15))*$C$28/12-IF(D10-0.2*Lookup!$D$15&lt;0,0,(D10-0.2*Lookup!$D$15)^2/(D10+0.8*Lookup!$D$15))*$D$28/12-IF(D10-0.2*Lookup!$E$15&lt;0,0,(D10-0.2*Lookup!$E$15)^2/(D10+0.8*Lookup!$E$15)*$E$28)/12</f>
        <v>0.32423521839060987</v>
      </c>
      <c r="F58" s="266">
        <f>F45-F44+(E10-0.2*Lookup!$B$17)^2/(E10+0.8*Lookup!$B$17)*$F$28/12-IF(E10-0.2*Lookup!$B$15&lt;0,0,(E10-0.2*Lookup!$B$15)^2/(E10+0.8*Lookup!$B$15))*$B$28/12-IF(E10-0.2*Lookup!$C$15&lt;0,0,(E10-0.2*Lookup!$C$15)^2/(E10+0.8*Lookup!$C$15))*$C$28/12-IF(E10-0.2*Lookup!$D$15&lt;0,0,(E10-0.2*Lookup!$D$15)^2/(E10+0.8*Lookup!$D$15))*$D$28/12-IF(E10-0.2*Lookup!$E$15&lt;0,0,(E10-0.2*Lookup!$E$15)^2/(E10+0.8*Lookup!$E$15)*$E$28)/12</f>
        <v>0.3895097591330039</v>
      </c>
      <c r="G58" s="60"/>
      <c r="K58" s="13"/>
      <c r="L58" s="13"/>
      <c r="M58" s="13"/>
      <c r="N58" s="13"/>
      <c r="O58" s="13"/>
    </row>
    <row r="59" spans="1:15" ht="15.6" x14ac:dyDescent="0.3">
      <c r="A59" s="61" t="s">
        <v>72</v>
      </c>
      <c r="B59" s="268">
        <f ca="1">SUM($B$50:$B$54,$E$50:$E$54)-(SUMIF(A50:A54,"Green Roofs",B50:B54)+SUMIF(C50:D54,"Green Roofs",E50:E54))</f>
        <v>0.22799999999999998</v>
      </c>
      <c r="C59" s="268">
        <f ca="1">SUM($B$50:$B$54,$E$50:$E$54)-(SUMIF(A50:A54,"Green Roofs",B50:B54)+SUMIF(C50:D54,"Green Roofs",E50:E54))</f>
        <v>0.22799999999999998</v>
      </c>
      <c r="D59" s="268">
        <f>SUM($B$50:$B$54,$E$50:$E$54)</f>
        <v>0.22799999999999998</v>
      </c>
      <c r="E59" s="268">
        <f t="shared" ref="E59:F59" si="1">SUM($B$50:$B$54,$E$50:$E$54)</f>
        <v>0.22799999999999998</v>
      </c>
      <c r="F59" s="268">
        <f t="shared" si="1"/>
        <v>0.22799999999999998</v>
      </c>
      <c r="G59" s="60"/>
      <c r="K59" s="24"/>
      <c r="L59" s="13"/>
      <c r="M59" s="13"/>
      <c r="N59" s="13"/>
      <c r="O59" s="13"/>
    </row>
    <row r="60" spans="1:15" ht="15.6" x14ac:dyDescent="0.3">
      <c r="A60" s="81" t="s">
        <v>119</v>
      </c>
      <c r="B60" s="268">
        <f ca="1">IF((B58-B59)&gt;0,B58-B59,0)</f>
        <v>0</v>
      </c>
      <c r="C60" s="268">
        <f ca="1">IF((C58-C59)&gt;0,C58-C59,0)</f>
        <v>0</v>
      </c>
      <c r="D60" s="268">
        <f>IF((D58-D59)&gt;0,D58-D59,0)</f>
        <v>0</v>
      </c>
      <c r="E60" s="268">
        <f>IF((E58-E59)&gt;0,E58-E59,0)</f>
        <v>9.6235218390609889E-2</v>
      </c>
      <c r="F60" s="268">
        <f>IF((F58-F59)&gt;0,F58-F59,0)</f>
        <v>0.16150975913300392</v>
      </c>
      <c r="G60" s="60"/>
      <c r="K60" s="13"/>
      <c r="L60" s="13"/>
      <c r="M60" s="13"/>
      <c r="N60" s="13"/>
      <c r="O60" s="13"/>
    </row>
    <row r="61" spans="1:15" x14ac:dyDescent="0.3">
      <c r="A61" s="59" t="s">
        <v>44</v>
      </c>
      <c r="B61" s="27" t="str">
        <f ca="1">IF(B58=0,"n/a",IF(ROUND(B60,4)=0,"Yes","No"))</f>
        <v>Yes</v>
      </c>
      <c r="C61" s="27" t="str">
        <f ca="1">IF(ROUND(C60,4)=0,"Yes", "No")</f>
        <v>Yes</v>
      </c>
      <c r="D61" s="27" t="str">
        <f>IF(ROUND(D60,4)=0,"Yes", "No")</f>
        <v>Yes</v>
      </c>
      <c r="E61" s="27" t="str">
        <f>IF(ROUND(E60,4)=0,"Yes", "No")</f>
        <v>No</v>
      </c>
      <c r="F61" s="27" t="str">
        <f>IF(ROUND(F60,4)=0,"Yes", "No")</f>
        <v>No</v>
      </c>
      <c r="G61" s="60"/>
      <c r="H61" s="43"/>
      <c r="K61" s="13"/>
      <c r="L61" s="13"/>
      <c r="M61" s="13"/>
      <c r="N61" s="13"/>
      <c r="O61" s="13"/>
    </row>
    <row r="62" spans="1:15" x14ac:dyDescent="0.3">
      <c r="A62" s="59"/>
      <c r="B62" s="25"/>
      <c r="C62" s="25"/>
      <c r="D62" s="25"/>
      <c r="E62" s="25"/>
      <c r="F62" s="25"/>
      <c r="G62" s="60"/>
      <c r="K62" s="13"/>
      <c r="L62" s="13"/>
      <c r="M62" s="13"/>
      <c r="N62" s="13"/>
      <c r="O62" s="13"/>
    </row>
    <row r="63" spans="1:15" ht="15.6" x14ac:dyDescent="0.3">
      <c r="A63" s="110" t="s">
        <v>43</v>
      </c>
      <c r="B63" s="29" t="s">
        <v>34</v>
      </c>
      <c r="C63" s="28">
        <f>IF(F32=0,"n/a",200/((2+B10+C58*(24/F32))-(5*B10*C58*(12/F32)+4*(C58*(12/F32))^2)^(1/2)))</f>
        <v>91.057851663168989</v>
      </c>
      <c r="D63" s="28">
        <f>IF(F32=0,"n/a",200/((2+C10+D45*(24/F32))-(5*C10*D45*(12/F32)+4*(D45*(12/F32))^2)^(1/2)))</f>
        <v>89.064598937162643</v>
      </c>
      <c r="E63" s="28">
        <f>IF(F32=0,"n/a",200/((2+D10+E45*(24/F32))-(5*D10*E45*(12/F32)+4*(E45*(12/F32))^2)^(1/2)))</f>
        <v>87.31520729844847</v>
      </c>
      <c r="F63" s="28">
        <f>IF(F32=0,"n/a",200/((2+E10+F45*(24/F32))-(5*E10*F45*(12/F32)+4*(F45*(12/F32))^2)^(1/2)))</f>
        <v>86.372017834263076</v>
      </c>
      <c r="G63" s="60"/>
      <c r="K63" s="24"/>
      <c r="L63" s="13"/>
      <c r="M63" s="13"/>
      <c r="N63" s="13"/>
      <c r="O63" s="13"/>
    </row>
    <row r="64" spans="1:15" ht="16.2" x14ac:dyDescent="0.35">
      <c r="A64" s="111" t="s">
        <v>42</v>
      </c>
      <c r="B64" s="30" t="s">
        <v>34</v>
      </c>
      <c r="C64" s="26" t="str">
        <f ca="1">IF(F32=0,"n/a",IF(B59&gt;C58,"n/a",200/(2+B10+((C58-$B$59)*24/F32)-SQRT(5*B10*(C58-$B$59)*12/F32+4*((C58-$B$59)*12/F32)^2))))</f>
        <v>n/a</v>
      </c>
      <c r="D64" s="26">
        <f ca="1">IF(F32=0,"n/a",IF(D59&gt;D45,0,200/(2+C10+((D45-$B$59)*24/F32)-SQRT(5*C10*(D45-$B$59)*12/F32+4*((D45-$B$59)*12/F32)^2))))</f>
        <v>81.832570824745844</v>
      </c>
      <c r="E64" s="26">
        <f ca="1">IF(F32=0,"n/a",IF(E59&gt;E45,0,200/(2+D10+((E45-$B$59)*24/F32)-SQRT(5*D10*(E45-$B$59)*12/F32+4*((E45-$B$59)*12/F32)^2))))</f>
        <v>82.448554611305454</v>
      </c>
      <c r="F64" s="26">
        <f ca="1">IF(F32=0,"n/a",IF(F59&gt;F45,0,200/(2+E10+((F45-$B$59)*24/F32)-SQRT(5*E10*(F45-$B$59)*12/F32+4*((F45-$B$59)*12/F32)^2))))</f>
        <v>82.391157569997901</v>
      </c>
      <c r="G64" s="60"/>
      <c r="K64" s="24"/>
      <c r="L64" s="6"/>
      <c r="M64" s="13"/>
      <c r="N64" s="13"/>
      <c r="O64" s="13"/>
    </row>
    <row r="65" spans="1:15" ht="15.6" x14ac:dyDescent="0.3">
      <c r="A65" s="112" t="s">
        <v>36</v>
      </c>
      <c r="B65" s="82" t="s">
        <v>34</v>
      </c>
      <c r="C65" s="83" t="s">
        <v>34</v>
      </c>
      <c r="D65" s="84">
        <f>IF(F20-F19=0,"n/a",200/(C10+2*D44*12/(F20-F19)+2-SQRT(5*C10*D44*12/(F20-F19)+4*(D44*12/(F20-F19))^2)))</f>
        <v>81.861882561948278</v>
      </c>
      <c r="E65" s="84">
        <f>IF((F20-F19)=0,"n/a",200/(D10+2*E44*12/(F20-F19)+2-SQRT(5*D10*E44*12/(F20-F19)+4*(E44*12/(F20-F19))^2)))</f>
        <v>80.237219342693479</v>
      </c>
      <c r="F65" s="84">
        <f>IF((F20-F19)=0,"n/a",200/(E10+2*F44*12/(F20-F19)+2-SQRT(5*E10*F44*12/(F20-F19)+4*(F44*12/(F20-F19))^2)))</f>
        <v>79.49288687193021</v>
      </c>
      <c r="G65" s="60"/>
      <c r="K65" s="24"/>
      <c r="L65" s="6"/>
      <c r="M65" s="13"/>
      <c r="N65" s="13"/>
      <c r="O65" s="13"/>
    </row>
    <row r="66" spans="1:15" ht="16.2" thickBot="1" x14ac:dyDescent="0.35">
      <c r="A66" s="16"/>
      <c r="B66" s="17"/>
      <c r="C66" s="17"/>
      <c r="D66" s="17"/>
      <c r="E66" s="17"/>
      <c r="F66" s="17"/>
      <c r="G66" s="70"/>
      <c r="K66" s="24"/>
      <c r="L66" s="13"/>
      <c r="M66" s="13"/>
      <c r="N66" s="13"/>
      <c r="O66" s="13"/>
    </row>
    <row r="67" spans="1:15" ht="15.6" x14ac:dyDescent="0.3">
      <c r="A67" s="56" t="s">
        <v>76</v>
      </c>
      <c r="B67" s="57"/>
      <c r="C67" s="57"/>
      <c r="D67" s="57"/>
      <c r="E67" s="57"/>
      <c r="F67" s="178">
        <v>1</v>
      </c>
      <c r="G67" s="58"/>
      <c r="K67" s="24"/>
      <c r="L67" s="6"/>
      <c r="M67" s="13"/>
      <c r="N67" s="13"/>
      <c r="O67" s="13"/>
    </row>
    <row r="68" spans="1:15" ht="30.6" customHeight="1" x14ac:dyDescent="0.3">
      <c r="A68" s="59" t="s">
        <v>77</v>
      </c>
      <c r="B68" s="174"/>
      <c r="C68" s="386" t="str">
        <f>IF(F67=1,"","Reason recharge not required (if No is selected):")</f>
        <v/>
      </c>
      <c r="D68" s="386"/>
      <c r="E68" s="387"/>
      <c r="F68" s="387"/>
      <c r="G68" s="60"/>
      <c r="K68" s="24"/>
      <c r="L68" s="6"/>
      <c r="M68" s="13"/>
      <c r="N68" s="13"/>
      <c r="O68" s="13"/>
    </row>
    <row r="69" spans="1:15" ht="15.6" x14ac:dyDescent="0.3">
      <c r="A69" s="59" t="s">
        <v>117</v>
      </c>
      <c r="B69" s="265">
        <f>((B27+B28)*Lookup!B21+(C27+C28)*Lookup!C21+(D27+D28)*Lookup!D21+(E27+E28)*Lookup!E21*(F27+F28))/12</f>
        <v>4.6458333333333331E-2</v>
      </c>
      <c r="C69" s="246"/>
      <c r="D69" s="246"/>
      <c r="E69" s="182"/>
      <c r="F69" s="182"/>
      <c r="G69" s="60"/>
      <c r="K69" s="24"/>
      <c r="L69" s="6"/>
      <c r="M69" s="13"/>
      <c r="N69" s="13"/>
      <c r="O69" s="13"/>
    </row>
    <row r="70" spans="1:15" ht="42.6" customHeight="1" x14ac:dyDescent="0.3">
      <c r="A70" s="252" t="s">
        <v>110</v>
      </c>
      <c r="B70" s="27" t="str">
        <f ca="1">B61</f>
        <v>Yes</v>
      </c>
      <c r="C70" s="388" t="str">
        <f ca="1">IF(B70="No",IF(F67=1,"NOTE: Treatment provided is insufficient to meet the recharge standard within this drainage area.  Add more infiltrating practices unless recharge is being met site-wide. (check summary tab)","Standard not applicable."),"")</f>
        <v/>
      </c>
      <c r="D70" s="389"/>
      <c r="E70" s="389"/>
      <c r="F70" s="389"/>
      <c r="G70" s="390"/>
      <c r="K70" s="24"/>
      <c r="L70" s="13"/>
      <c r="M70" s="13"/>
      <c r="N70" s="13"/>
      <c r="O70" s="13"/>
    </row>
    <row r="71" spans="1:15" ht="101.4" customHeight="1" thickBot="1" x14ac:dyDescent="0.35">
      <c r="A71" s="222" t="s">
        <v>167</v>
      </c>
      <c r="B71" s="412"/>
      <c r="C71" s="412"/>
      <c r="D71" s="412"/>
      <c r="E71" s="412"/>
      <c r="F71" s="412"/>
      <c r="G71" s="413"/>
      <c r="K71" s="24"/>
      <c r="L71" s="6"/>
      <c r="M71" s="13"/>
      <c r="N71" s="13"/>
      <c r="O71" s="13"/>
    </row>
    <row r="72" spans="1:15" ht="75" customHeight="1" thickBot="1" x14ac:dyDescent="0.35">
      <c r="A72" s="269"/>
      <c r="B72" s="270"/>
      <c r="C72" s="270"/>
      <c r="D72" s="270"/>
      <c r="E72" s="270"/>
      <c r="F72" s="270"/>
      <c r="G72" s="270"/>
      <c r="K72" s="24"/>
      <c r="L72" s="6"/>
      <c r="M72" s="13"/>
      <c r="N72" s="13"/>
      <c r="O72" s="13"/>
    </row>
    <row r="73" spans="1:15" ht="15.6" x14ac:dyDescent="0.3">
      <c r="A73" s="56" t="s">
        <v>95</v>
      </c>
      <c r="B73" s="57"/>
      <c r="C73" s="57"/>
      <c r="D73" s="57"/>
      <c r="E73" s="178">
        <v>1</v>
      </c>
      <c r="F73" s="178">
        <v>1</v>
      </c>
      <c r="G73" s="58"/>
      <c r="K73" s="24"/>
      <c r="L73" s="6"/>
      <c r="M73" s="13"/>
      <c r="N73" s="13"/>
      <c r="O73" s="13"/>
    </row>
    <row r="74" spans="1:15" ht="15" customHeight="1" x14ac:dyDescent="0.3">
      <c r="A74" s="91"/>
      <c r="B74" s="7" t="s">
        <v>233</v>
      </c>
      <c r="C74" s="13"/>
      <c r="D74" s="13"/>
      <c r="E74" s="13"/>
      <c r="F74" s="7" t="s">
        <v>236</v>
      </c>
      <c r="G74" s="60"/>
      <c r="K74" s="24"/>
      <c r="L74" s="6"/>
      <c r="M74" s="13"/>
      <c r="N74" s="13"/>
      <c r="O74" s="13"/>
    </row>
    <row r="75" spans="1:15" ht="16.2" x14ac:dyDescent="0.35">
      <c r="A75" s="67" t="s">
        <v>221</v>
      </c>
      <c r="B75" s="265">
        <f>IF(F27+F28=0,0,(0.05+0.9*(G27+G28))*1*F32/12)</f>
        <v>0.1940833333333333</v>
      </c>
      <c r="C75" s="373" t="s">
        <v>235</v>
      </c>
      <c r="D75" s="374"/>
      <c r="E75" s="75">
        <f>G35</f>
        <v>0</v>
      </c>
      <c r="G75" s="60"/>
      <c r="K75" s="24"/>
      <c r="L75" s="6"/>
      <c r="M75" s="13"/>
      <c r="N75" s="13"/>
      <c r="O75" s="13"/>
    </row>
    <row r="76" spans="1:15" ht="30" customHeight="1" x14ac:dyDescent="0.3">
      <c r="A76" s="61" t="s">
        <v>222</v>
      </c>
      <c r="B76" s="265">
        <f>IF(F30=0,0,IF(F73=2,IF(E76&gt;25%,0,(0.05+0.9*G30)*1*F32/12*(50%-2*E76)),(0.05+0.9*G30)*1*F32/12*0.5))</f>
        <v>0</v>
      </c>
      <c r="C76" s="375" t="s">
        <v>234</v>
      </c>
      <c r="D76" s="376"/>
      <c r="E76" s="225">
        <f>G36</f>
        <v>1</v>
      </c>
      <c r="G76" s="226" t="str">
        <f>IF(E76="n/a","",IF(E76&gt;25%,"Max 25% applied",""))</f>
        <v>Max 25% applied</v>
      </c>
      <c r="K76" s="24"/>
      <c r="L76" s="13"/>
      <c r="M76" s="13"/>
      <c r="N76" s="13"/>
      <c r="O76" s="13"/>
    </row>
    <row r="77" spans="1:15" ht="15" customHeight="1" x14ac:dyDescent="0.3">
      <c r="A77" s="59" t="s">
        <v>111</v>
      </c>
      <c r="B77" s="265">
        <f>IF(E73=2,IF(E75&lt;5%,B75+B76,(B75+B76)*(100%-E75)),B75+B76)</f>
        <v>0.1940833333333333</v>
      </c>
      <c r="C77" s="377" t="str">
        <f>IF(E73+F73=4,"ERROR! Net Reduction and Redevelopment cannot both apply","")</f>
        <v/>
      </c>
      <c r="D77" s="378"/>
      <c r="E77" s="378"/>
      <c r="F77" s="378"/>
      <c r="G77" s="379"/>
      <c r="K77" s="24"/>
      <c r="L77" s="13"/>
      <c r="M77" s="13"/>
      <c r="N77" s="13"/>
      <c r="O77" s="13"/>
    </row>
    <row r="78" spans="1:15" ht="30" x14ac:dyDescent="0.3">
      <c r="A78" s="252" t="s">
        <v>204</v>
      </c>
      <c r="B78" s="306">
        <f ca="1">IF(C59&gt;C58,C58,C59)</f>
        <v>0.1940833333333333</v>
      </c>
      <c r="C78" s="63"/>
      <c r="D78" s="371" t="s">
        <v>209</v>
      </c>
      <c r="E78" s="371"/>
      <c r="F78" s="185"/>
      <c r="G78" s="186">
        <v>1</v>
      </c>
      <c r="K78" s="24"/>
      <c r="L78" s="13"/>
      <c r="M78" s="13"/>
      <c r="N78" s="13"/>
      <c r="O78" s="13"/>
    </row>
    <row r="79" spans="1:15" ht="30.6" customHeight="1" x14ac:dyDescent="0.3">
      <c r="A79" s="224" t="s">
        <v>149</v>
      </c>
      <c r="B79" s="306">
        <f ca="1">IF(G78=2,"N/A",IF(B77-B78&lt;0,0,B77-B78))</f>
        <v>0</v>
      </c>
      <c r="C79" s="63"/>
      <c r="D79" s="223"/>
      <c r="E79" s="223"/>
      <c r="F79" s="13"/>
      <c r="G79" s="64"/>
      <c r="K79" s="24"/>
      <c r="L79" s="13"/>
      <c r="M79" s="13"/>
      <c r="N79" s="13"/>
      <c r="O79" s="13"/>
    </row>
    <row r="80" spans="1:15" ht="10.8" customHeight="1" x14ac:dyDescent="0.3">
      <c r="A80" s="252"/>
      <c r="B80" s="13"/>
      <c r="C80" s="63"/>
      <c r="D80" s="13"/>
      <c r="E80" s="13"/>
      <c r="F80" s="13"/>
      <c r="G80" s="60"/>
      <c r="K80" s="13"/>
      <c r="L80" s="6"/>
      <c r="M80" s="13"/>
      <c r="N80" s="13"/>
      <c r="O80" s="13"/>
    </row>
    <row r="81" spans="1:15" ht="28.8" customHeight="1" x14ac:dyDescent="0.3">
      <c r="A81" s="401" t="str">
        <f>IF(B82="","","NOTE: Please include a copy of the appropriate STP worksheet(s) with the application.")</f>
        <v/>
      </c>
      <c r="B81" s="391" t="s">
        <v>160</v>
      </c>
      <c r="C81" s="392"/>
      <c r="D81" s="393"/>
      <c r="E81" s="245" t="s">
        <v>147</v>
      </c>
      <c r="F81" s="251" t="s">
        <v>138</v>
      </c>
      <c r="G81" s="60"/>
      <c r="K81" s="13"/>
      <c r="L81" s="6"/>
      <c r="M81" s="13"/>
      <c r="N81" s="13"/>
      <c r="O81" s="13"/>
    </row>
    <row r="82" spans="1:15" x14ac:dyDescent="0.3">
      <c r="A82" s="401"/>
      <c r="B82" s="372"/>
      <c r="C82" s="372"/>
      <c r="D82" s="372"/>
      <c r="E82" s="175"/>
      <c r="F82" s="108" t="str">
        <f>IF(B82="","",VLOOKUP(B82,Lookup!$H$13:$I$19,2,FALSE))</f>
        <v/>
      </c>
      <c r="G82" s="60"/>
    </row>
    <row r="83" spans="1:15" x14ac:dyDescent="0.3">
      <c r="A83" s="401"/>
      <c r="B83" s="372"/>
      <c r="C83" s="372"/>
      <c r="D83" s="372"/>
      <c r="E83" s="175"/>
      <c r="F83" s="108" t="str">
        <f>IF(B83="","",VLOOKUP(B83,Lookup!$H$13:$I$19,2,FALSE))</f>
        <v/>
      </c>
      <c r="G83" s="60"/>
    </row>
    <row r="84" spans="1:15" x14ac:dyDescent="0.3">
      <c r="A84" s="401"/>
      <c r="B84" s="372"/>
      <c r="C84" s="372"/>
      <c r="D84" s="372"/>
      <c r="E84" s="175"/>
      <c r="F84" s="108" t="str">
        <f>IF(B84="","",VLOOKUP(B84,Lookup!$H$13:$I$19,2,FALSE))</f>
        <v/>
      </c>
      <c r="G84" s="60"/>
    </row>
    <row r="85" spans="1:15" ht="15.6" x14ac:dyDescent="0.35">
      <c r="A85" s="118"/>
      <c r="B85" s="19"/>
      <c r="C85" s="19"/>
      <c r="D85" s="1" t="s">
        <v>153</v>
      </c>
      <c r="E85" s="307">
        <f>SUM(E82:E84)</f>
        <v>0</v>
      </c>
      <c r="F85" s="13" t="s">
        <v>90</v>
      </c>
      <c r="G85" s="60"/>
    </row>
    <row r="86" spans="1:15" ht="15.6" x14ac:dyDescent="0.35">
      <c r="A86" s="68"/>
      <c r="B86" s="19"/>
      <c r="C86" s="19"/>
      <c r="D86" s="1" t="s">
        <v>203</v>
      </c>
      <c r="E86" s="134" t="str">
        <f ca="1">IF(G78=2,"Yes",IF(ROUND(E85,3)&gt;=ROUND(B79,3),"Yes","No"))</f>
        <v>Yes</v>
      </c>
      <c r="F86" s="13"/>
      <c r="G86" s="60"/>
    </row>
    <row r="87" spans="1:15" ht="14.4" customHeight="1" x14ac:dyDescent="0.3">
      <c r="A87" s="368" t="str">
        <f ca="1">IF(E86="No","NOTE:  Add more water quality practices unless site balancing is being used. (Check summary tab)","")</f>
        <v/>
      </c>
      <c r="B87" s="369"/>
      <c r="C87" s="369"/>
      <c r="D87" s="369"/>
      <c r="E87" s="369"/>
      <c r="F87" s="369"/>
      <c r="G87" s="370"/>
    </row>
    <row r="88" spans="1:15" ht="51.6" customHeight="1" thickBot="1" x14ac:dyDescent="0.35">
      <c r="A88" s="239" t="s">
        <v>168</v>
      </c>
      <c r="B88" s="414"/>
      <c r="C88" s="414"/>
      <c r="D88" s="414"/>
      <c r="E88" s="414"/>
      <c r="F88" s="414"/>
      <c r="G88" s="414"/>
    </row>
    <row r="89" spans="1:15" ht="15.6" x14ac:dyDescent="0.3">
      <c r="A89" s="56" t="s">
        <v>96</v>
      </c>
      <c r="B89" s="57"/>
      <c r="C89" s="57"/>
      <c r="D89" s="57"/>
      <c r="E89" s="178">
        <v>1</v>
      </c>
      <c r="F89" s="178">
        <v>1</v>
      </c>
      <c r="G89" s="58"/>
    </row>
    <row r="90" spans="1:15" ht="29.4" customHeight="1" x14ac:dyDescent="0.3">
      <c r="A90" s="59" t="s">
        <v>77</v>
      </c>
      <c r="B90" s="125"/>
      <c r="C90" s="364" t="str">
        <f>IF(F89=2,"Waiver (if No is selected):","")</f>
        <v/>
      </c>
      <c r="D90" s="364"/>
      <c r="E90" s="380"/>
      <c r="F90" s="380"/>
      <c r="G90" s="60"/>
      <c r="M90" s="41"/>
    </row>
    <row r="91" spans="1:15" s="49" customFormat="1" ht="37.200000000000003" customHeight="1" x14ac:dyDescent="0.3">
      <c r="A91" s="59" t="s">
        <v>80</v>
      </c>
      <c r="B91" s="27" t="str">
        <f>D61</f>
        <v>Yes</v>
      </c>
      <c r="C91" s="348"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been fully met with hydrologic condition method. Additional treatment of the 1 year storm is not required.</v>
      </c>
      <c r="D91" s="349"/>
      <c r="E91" s="349"/>
      <c r="F91" s="349"/>
      <c r="G91" s="350"/>
    </row>
    <row r="92" spans="1:15" s="49" customFormat="1" ht="31.2" customHeight="1" x14ac:dyDescent="0.3">
      <c r="A92" s="61" t="s">
        <v>81</v>
      </c>
      <c r="B92" s="62" t="str">
        <f>IF(D60&gt;0,D45-D59,"n/a")</f>
        <v>n/a</v>
      </c>
      <c r="C92" s="54" t="s">
        <v>90</v>
      </c>
      <c r="D92" s="31"/>
      <c r="E92" s="13"/>
      <c r="F92" s="63"/>
      <c r="G92" s="64"/>
    </row>
    <row r="93" spans="1:15" ht="34.799999999999997" customHeight="1" x14ac:dyDescent="0.3">
      <c r="A93" s="61" t="s">
        <v>92</v>
      </c>
      <c r="B93" s="125"/>
      <c r="C93" s="65" t="s">
        <v>94</v>
      </c>
      <c r="D93" s="247" t="s">
        <v>93</v>
      </c>
      <c r="E93" s="363" t="str">
        <f>IF(E89=1,"12 hours of extended detention","24 hours of extended detention")</f>
        <v>12 hours of extended detention</v>
      </c>
      <c r="F93" s="363"/>
      <c r="G93" s="60"/>
    </row>
    <row r="94" spans="1:15" ht="15" customHeight="1" x14ac:dyDescent="0.3">
      <c r="A94" s="381" t="str">
        <f>HYPERLINK("http://dec.vermont.gov/sites/dec/files/documents/wsmd_water_quality_standards_2016.pdf", "See the Vermont Water Quality Standards for warm and cold water designations")</f>
        <v>See the Vermont Water Quality Standards for warm and cold water designations</v>
      </c>
      <c r="B94" s="382"/>
      <c r="C94" s="382"/>
      <c r="D94" s="13"/>
      <c r="E94" s="358" t="s">
        <v>150</v>
      </c>
      <c r="F94" s="358"/>
      <c r="G94" s="179" t="b">
        <v>0</v>
      </c>
    </row>
    <row r="95" spans="1:15" ht="14.4" customHeight="1" x14ac:dyDescent="0.3">
      <c r="A95" s="381"/>
      <c r="B95" s="382"/>
      <c r="C95" s="382"/>
      <c r="D95" s="13"/>
      <c r="E95" s="359" t="s">
        <v>182</v>
      </c>
      <c r="F95" s="359"/>
      <c r="G95" s="360"/>
    </row>
    <row r="96" spans="1:15" x14ac:dyDescent="0.3">
      <c r="A96" s="249"/>
      <c r="B96" s="250"/>
      <c r="C96" s="13"/>
      <c r="D96" s="13"/>
      <c r="E96" s="359"/>
      <c r="F96" s="359"/>
      <c r="G96" s="360"/>
    </row>
    <row r="97" spans="1:7" x14ac:dyDescent="0.3">
      <c r="A97" s="66" t="s">
        <v>151</v>
      </c>
      <c r="B97" s="418"/>
      <c r="C97" s="419"/>
      <c r="D97" s="13"/>
      <c r="E97" s="183"/>
      <c r="F97" s="361" t="str">
        <f>IF(G94=TRUE,"detention time (hrs)","")</f>
        <v/>
      </c>
      <c r="G97" s="362"/>
    </row>
    <row r="98" spans="1:7" ht="11.4" customHeight="1" x14ac:dyDescent="0.3">
      <c r="A98" s="66"/>
      <c r="B98" s="55"/>
      <c r="C98" s="55"/>
      <c r="D98" s="13"/>
      <c r="E98" s="13"/>
      <c r="F98" s="13"/>
      <c r="G98" s="60"/>
    </row>
    <row r="99" spans="1:7" ht="45.6" customHeight="1" x14ac:dyDescent="0.3">
      <c r="A99" s="343" t="s">
        <v>210</v>
      </c>
      <c r="B99" s="344"/>
      <c r="C99" s="344"/>
      <c r="D99" s="344"/>
      <c r="E99" s="344"/>
      <c r="F99" s="344"/>
      <c r="G99" s="345"/>
    </row>
    <row r="100" spans="1:7" s="49" customFormat="1" ht="31.2" customHeight="1" x14ac:dyDescent="0.3">
      <c r="A100" s="59" t="s">
        <v>91</v>
      </c>
      <c r="B100" s="128">
        <f ca="1">D64</f>
        <v>81.832570824745844</v>
      </c>
      <c r="C100" s="383" t="s">
        <v>223</v>
      </c>
      <c r="D100" s="384"/>
      <c r="E100" s="129">
        <f ca="1">IF(E41=0,0,(F41^0.8)*(((1000/IF(B100&gt;95,95,IF(B100&lt;50,50,B100)))-9)^0.7)/(1140*E41^0.5)*60)</f>
        <v>19.534584578122754</v>
      </c>
      <c r="F100" s="73" t="s">
        <v>102</v>
      </c>
      <c r="G100" s="64"/>
    </row>
    <row r="101" spans="1:7" ht="49.2" customHeight="1" thickBot="1" x14ac:dyDescent="0.35">
      <c r="A101" s="222" t="s">
        <v>169</v>
      </c>
      <c r="B101" s="365"/>
      <c r="C101" s="366"/>
      <c r="D101" s="366"/>
      <c r="E101" s="366"/>
      <c r="F101" s="366"/>
      <c r="G101" s="367"/>
    </row>
    <row r="102" spans="1:7" ht="18" x14ac:dyDescent="0.4">
      <c r="A102" s="56" t="s">
        <v>97</v>
      </c>
      <c r="B102" s="57"/>
      <c r="C102" s="57"/>
      <c r="D102" s="57"/>
      <c r="E102" s="57"/>
      <c r="F102" s="178">
        <v>1</v>
      </c>
      <c r="G102" s="58"/>
    </row>
    <row r="103" spans="1:7" ht="29.4" customHeight="1" x14ac:dyDescent="0.3">
      <c r="A103" s="59" t="s">
        <v>77</v>
      </c>
      <c r="B103" s="127"/>
      <c r="C103" s="364" t="str">
        <f>IF(F102=1,"","Waiver (if No is selected):")</f>
        <v/>
      </c>
      <c r="D103" s="364"/>
      <c r="E103" s="380"/>
      <c r="F103" s="380"/>
      <c r="G103" s="60"/>
    </row>
    <row r="104" spans="1:7" ht="43.2" customHeight="1" x14ac:dyDescent="0.3">
      <c r="A104" s="59" t="s">
        <v>80</v>
      </c>
      <c r="B104" s="27" t="str">
        <f>E61</f>
        <v>No</v>
      </c>
      <c r="C104" s="348"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not been fully met. Provide additional STPs to ensure post development peak runoff does not exceed pre development peak runoff for the 10 yr, 24 hour storm event.</v>
      </c>
      <c r="D104" s="349"/>
      <c r="E104" s="349"/>
      <c r="F104" s="349"/>
      <c r="G104" s="350"/>
    </row>
    <row r="105" spans="1:7" x14ac:dyDescent="0.3">
      <c r="A105" s="68" t="s">
        <v>104</v>
      </c>
      <c r="B105" s="357" t="s">
        <v>263</v>
      </c>
      <c r="C105" s="357"/>
      <c r="D105" s="357"/>
      <c r="E105" s="357"/>
      <c r="F105" s="357"/>
      <c r="G105" s="60"/>
    </row>
    <row r="106" spans="1:7" x14ac:dyDescent="0.3">
      <c r="A106" s="14"/>
      <c r="B106" s="13"/>
      <c r="C106" s="20" t="s">
        <v>105</v>
      </c>
      <c r="D106" s="176">
        <v>4.87</v>
      </c>
      <c r="E106" s="13"/>
      <c r="F106" s="13"/>
      <c r="G106" s="60"/>
    </row>
    <row r="107" spans="1:7" x14ac:dyDescent="0.3">
      <c r="A107" s="14"/>
      <c r="B107" s="13"/>
      <c r="C107" s="20" t="s">
        <v>107</v>
      </c>
      <c r="D107" s="176">
        <v>8.49</v>
      </c>
      <c r="E107" s="13"/>
      <c r="F107" s="13"/>
      <c r="G107" s="60"/>
    </row>
    <row r="108" spans="1:7" x14ac:dyDescent="0.3">
      <c r="A108" s="14"/>
      <c r="B108" s="13"/>
      <c r="C108" s="20" t="s">
        <v>106</v>
      </c>
      <c r="D108" s="176">
        <v>2.29</v>
      </c>
      <c r="E108" s="13"/>
      <c r="F108" s="13"/>
      <c r="G108" s="60"/>
    </row>
    <row r="109" spans="1:7" x14ac:dyDescent="0.3">
      <c r="A109" s="14"/>
      <c r="B109" s="13"/>
      <c r="C109" s="20"/>
      <c r="D109" s="19"/>
      <c r="E109" s="13"/>
      <c r="F109" s="13"/>
      <c r="G109" s="60"/>
    </row>
    <row r="110" spans="1:7" ht="46.8" customHeight="1" x14ac:dyDescent="0.3">
      <c r="A110" s="343" t="s">
        <v>211</v>
      </c>
      <c r="B110" s="344"/>
      <c r="C110" s="344"/>
      <c r="D110" s="344"/>
      <c r="E110" s="344"/>
      <c r="F110" s="344"/>
      <c r="G110" s="345"/>
    </row>
    <row r="111" spans="1:7" ht="28.8" customHeight="1" x14ac:dyDescent="0.3">
      <c r="A111" s="194" t="s">
        <v>224</v>
      </c>
      <c r="B111" s="71">
        <f>E65</f>
        <v>80.237219342693479</v>
      </c>
      <c r="C111" s="420" t="s">
        <v>225</v>
      </c>
      <c r="D111" s="421"/>
      <c r="E111" s="72">
        <f>IF(E40=0,0,(F40^0.8)*(((1000/IF(B111&gt;95,95,IF(B111&lt;50,50,B111)))-9)^0.7)/(1140*E40^0.5)*60)</f>
        <v>16.615421529461166</v>
      </c>
      <c r="F111" s="346" t="s">
        <v>102</v>
      </c>
      <c r="G111" s="248"/>
    </row>
    <row r="112" spans="1:7" ht="28.8" customHeight="1" x14ac:dyDescent="0.3">
      <c r="A112" s="59" t="s">
        <v>91</v>
      </c>
      <c r="B112" s="71">
        <f ca="1">E64</f>
        <v>82.448554611305454</v>
      </c>
      <c r="C112" s="383" t="s">
        <v>223</v>
      </c>
      <c r="D112" s="384"/>
      <c r="E112" s="72">
        <f ca="1">IF(E41=0,0,(F41^0.8)*(((1000/IF(B112&gt;95,95,IF(B112&lt;50,50,B112)))-9)^0.7)/(1140*E41^0.5)*60)</f>
        <v>19.145214484042164</v>
      </c>
      <c r="F112" s="347"/>
      <c r="G112" s="64"/>
    </row>
    <row r="113" spans="1:7" ht="57.6" customHeight="1" thickBot="1" x14ac:dyDescent="0.35">
      <c r="A113" s="124" t="s">
        <v>170</v>
      </c>
      <c r="B113" s="365" t="s">
        <v>264</v>
      </c>
      <c r="C113" s="366"/>
      <c r="D113" s="366"/>
      <c r="E113" s="366"/>
      <c r="F113" s="366"/>
      <c r="G113" s="367"/>
    </row>
    <row r="114" spans="1:7" ht="18" x14ac:dyDescent="0.4">
      <c r="A114" s="56" t="s">
        <v>108</v>
      </c>
      <c r="B114" s="57"/>
      <c r="C114" s="57"/>
      <c r="D114" s="57"/>
      <c r="E114" s="57"/>
      <c r="F114" s="178">
        <v>2</v>
      </c>
      <c r="G114" s="58"/>
    </row>
    <row r="115" spans="1:7" ht="28.8" customHeight="1" x14ac:dyDescent="0.3">
      <c r="A115" s="59" t="s">
        <v>77</v>
      </c>
      <c r="B115" s="126"/>
      <c r="C115" s="364" t="str">
        <f>IF(F114=1,"","Waiver (if No is selected):")</f>
        <v>Waiver (if No is selected):</v>
      </c>
      <c r="D115" s="364"/>
      <c r="E115" s="380" t="s">
        <v>51</v>
      </c>
      <c r="F115" s="380"/>
      <c r="G115" s="60"/>
    </row>
    <row r="116" spans="1:7" ht="43.2" customHeight="1" x14ac:dyDescent="0.3">
      <c r="A116" s="59" t="s">
        <v>80</v>
      </c>
      <c r="B116" s="27" t="str">
        <f>F61</f>
        <v>No</v>
      </c>
      <c r="C116" s="348"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standard has not been fully met. Provide additional STPs to ensure post development peak runoff does not exceed pre development peak runoff for the 100 yr, 24 hour storm event.</v>
      </c>
      <c r="D116" s="349"/>
      <c r="E116" s="349"/>
      <c r="F116" s="349"/>
      <c r="G116" s="350"/>
    </row>
    <row r="117" spans="1:7" x14ac:dyDescent="0.3">
      <c r="A117" s="68" t="s">
        <v>104</v>
      </c>
      <c r="B117" s="424"/>
      <c r="C117" s="424"/>
      <c r="D117" s="424"/>
      <c r="E117" s="424"/>
      <c r="F117" s="424"/>
      <c r="G117" s="60"/>
    </row>
    <row r="118" spans="1:7" x14ac:dyDescent="0.3">
      <c r="A118" s="14"/>
      <c r="B118" s="13"/>
      <c r="C118" s="20" t="s">
        <v>105</v>
      </c>
      <c r="D118" s="177"/>
      <c r="E118" s="13"/>
      <c r="F118" s="13"/>
      <c r="G118" s="60"/>
    </row>
    <row r="119" spans="1:7" x14ac:dyDescent="0.3">
      <c r="A119" s="14"/>
      <c r="B119" s="13"/>
      <c r="C119" s="20" t="s">
        <v>107</v>
      </c>
      <c r="D119" s="177"/>
      <c r="E119" s="13"/>
      <c r="F119" s="13"/>
      <c r="G119" s="60"/>
    </row>
    <row r="120" spans="1:7" x14ac:dyDescent="0.3">
      <c r="A120" s="14"/>
      <c r="B120" s="13"/>
      <c r="C120" s="20" t="s">
        <v>106</v>
      </c>
      <c r="D120" s="177"/>
      <c r="E120" s="13"/>
      <c r="F120" s="13"/>
      <c r="G120" s="60"/>
    </row>
    <row r="121" spans="1:7" x14ac:dyDescent="0.3">
      <c r="A121" s="14"/>
      <c r="B121" s="13"/>
      <c r="C121" s="13"/>
      <c r="D121" s="13"/>
      <c r="E121" s="13"/>
      <c r="F121" s="13"/>
      <c r="G121" s="60"/>
    </row>
    <row r="122" spans="1:7" ht="45.6" customHeight="1" x14ac:dyDescent="0.3">
      <c r="A122" s="343" t="s">
        <v>215</v>
      </c>
      <c r="B122" s="344"/>
      <c r="C122" s="344"/>
      <c r="D122" s="344"/>
      <c r="E122" s="344"/>
      <c r="F122" s="344"/>
      <c r="G122" s="345"/>
    </row>
    <row r="123" spans="1:7" ht="32.4" customHeight="1" x14ac:dyDescent="0.3">
      <c r="A123" s="194" t="s">
        <v>224</v>
      </c>
      <c r="B123" s="71">
        <f>F65</f>
        <v>79.49288687193021</v>
      </c>
      <c r="C123" s="420" t="s">
        <v>225</v>
      </c>
      <c r="D123" s="421"/>
      <c r="E123" s="72">
        <f>IF(E40=0,0,(F40^0.8)*(((1000/IF(B123&gt;95,95,IF(B123&lt;50,50,B123)))-9)^0.7)/(1140*E40^0.5)*60)</f>
        <v>17.005403941447121</v>
      </c>
      <c r="F123" s="422" t="s">
        <v>102</v>
      </c>
      <c r="G123" s="248"/>
    </row>
    <row r="124" spans="1:7" ht="28.8" customHeight="1" x14ac:dyDescent="0.3">
      <c r="A124" s="59" t="s">
        <v>91</v>
      </c>
      <c r="B124" s="71">
        <f ca="1">F64</f>
        <v>82.391157569997901</v>
      </c>
      <c r="C124" s="383" t="s">
        <v>223</v>
      </c>
      <c r="D124" s="384"/>
      <c r="E124" s="72">
        <f ca="1">IF(E41=0,0,(F41^0.8)*(((1000/IF(B124&gt;95,95,IF(B124&lt;50,50,B124)))-9)^0.7)/(1140*E41^0.5)*60)</f>
        <v>19.181391603964816</v>
      </c>
      <c r="F124" s="423"/>
      <c r="G124" s="64"/>
    </row>
    <row r="125" spans="1:7" ht="57.6" customHeight="1" thickBot="1" x14ac:dyDescent="0.35">
      <c r="A125" s="124" t="s">
        <v>171</v>
      </c>
      <c r="B125" s="365"/>
      <c r="C125" s="366"/>
      <c r="D125" s="366"/>
      <c r="E125" s="366"/>
      <c r="F125" s="366"/>
      <c r="G125" s="367"/>
    </row>
  </sheetData>
  <sheetProtection algorithmName="SHA-512" hashValue="IXzSqyZmeH1LKvDsygZDjaT68sUeDKFTi4rkh/+qctEil+CD4tUggf21HFWgxKZT7/UfMXpGVgJZ/5A0Gt/7Gg==" saltValue="vvZRywuYXHtMIFD/EVg6lw==" spinCount="100000" sheet="1" objects="1" scenarios="1"/>
  <dataConsolidate/>
  <mergeCells count="67">
    <mergeCell ref="C123:D123"/>
    <mergeCell ref="F123:F124"/>
    <mergeCell ref="C124:D124"/>
    <mergeCell ref="B125:G125"/>
    <mergeCell ref="B113:G113"/>
    <mergeCell ref="C115:D115"/>
    <mergeCell ref="E115:F115"/>
    <mergeCell ref="C116:G116"/>
    <mergeCell ref="B117:F117"/>
    <mergeCell ref="A122:G122"/>
    <mergeCell ref="C104:G104"/>
    <mergeCell ref="B105:F105"/>
    <mergeCell ref="A110:G110"/>
    <mergeCell ref="C111:D111"/>
    <mergeCell ref="F111:F112"/>
    <mergeCell ref="C112:D112"/>
    <mergeCell ref="C103:D103"/>
    <mergeCell ref="E103:F103"/>
    <mergeCell ref="B88:G88"/>
    <mergeCell ref="C90:D90"/>
    <mergeCell ref="E90:F90"/>
    <mergeCell ref="C91:G91"/>
    <mergeCell ref="E93:F93"/>
    <mergeCell ref="A94:C95"/>
    <mergeCell ref="E94:F94"/>
    <mergeCell ref="E95:G96"/>
    <mergeCell ref="B97:C97"/>
    <mergeCell ref="F97:G97"/>
    <mergeCell ref="A99:G99"/>
    <mergeCell ref="C100:D100"/>
    <mergeCell ref="B101:G101"/>
    <mergeCell ref="A87:G87"/>
    <mergeCell ref="C70:G70"/>
    <mergeCell ref="B71:G71"/>
    <mergeCell ref="C75:D75"/>
    <mergeCell ref="C76:D76"/>
    <mergeCell ref="C77:G77"/>
    <mergeCell ref="D78:E78"/>
    <mergeCell ref="A81:A84"/>
    <mergeCell ref="B81:D81"/>
    <mergeCell ref="B82:D82"/>
    <mergeCell ref="B83:D83"/>
    <mergeCell ref="B84:D84"/>
    <mergeCell ref="E68:F68"/>
    <mergeCell ref="A39:B41"/>
    <mergeCell ref="A44:C44"/>
    <mergeCell ref="A45:C45"/>
    <mergeCell ref="A48:G48"/>
    <mergeCell ref="C49:D49"/>
    <mergeCell ref="C50:D50"/>
    <mergeCell ref="C51:D51"/>
    <mergeCell ref="C52:D52"/>
    <mergeCell ref="C53:D53"/>
    <mergeCell ref="C54:D54"/>
    <mergeCell ref="C68:D68"/>
    <mergeCell ref="A38:G38"/>
    <mergeCell ref="D2:F2"/>
    <mergeCell ref="D3:F3"/>
    <mergeCell ref="D4:F4"/>
    <mergeCell ref="D5:F5"/>
    <mergeCell ref="D6:F6"/>
    <mergeCell ref="B8:D8"/>
    <mergeCell ref="A13:F13"/>
    <mergeCell ref="G14:G15"/>
    <mergeCell ref="A21:G21"/>
    <mergeCell ref="A22:F22"/>
    <mergeCell ref="B31:E31"/>
  </mergeCells>
  <conditionalFormatting sqref="E68:F68">
    <cfRule type="expression" dxfId="258" priority="36">
      <formula>$F$67=2</formula>
    </cfRule>
  </conditionalFormatting>
  <conditionalFormatting sqref="E90:F90">
    <cfRule type="expression" dxfId="257" priority="35">
      <formula>$F$89=2</formula>
    </cfRule>
  </conditionalFormatting>
  <conditionalFormatting sqref="E103:F103">
    <cfRule type="expression" dxfId="256" priority="34">
      <formula>$F$102=2</formula>
    </cfRule>
  </conditionalFormatting>
  <conditionalFormatting sqref="E115:F115">
    <cfRule type="expression" dxfId="255" priority="33">
      <formula>$F$114=2</formula>
    </cfRule>
  </conditionalFormatting>
  <conditionalFormatting sqref="B105:F105 D108">
    <cfRule type="expression" dxfId="254" priority="32">
      <formula>$F$102=1</formula>
    </cfRule>
  </conditionalFormatting>
  <conditionalFormatting sqref="D106">
    <cfRule type="expression" dxfId="253" priority="31">
      <formula>$F$102=1</formula>
    </cfRule>
  </conditionalFormatting>
  <conditionalFormatting sqref="B117:F117 D120">
    <cfRule type="expression" dxfId="252" priority="30">
      <formula>$F$114=1</formula>
    </cfRule>
  </conditionalFormatting>
  <conditionalFormatting sqref="B82:D82 B83:B84 E82:E84">
    <cfRule type="expression" dxfId="251" priority="37">
      <formula>$F$79&gt;0</formula>
    </cfRule>
  </conditionalFormatting>
  <conditionalFormatting sqref="E97">
    <cfRule type="expression" dxfId="250" priority="29">
      <formula>$G$94=TRUE</formula>
    </cfRule>
  </conditionalFormatting>
  <conditionalFormatting sqref="D119">
    <cfRule type="expression" dxfId="249" priority="28">
      <formula>$F$114=1</formula>
    </cfRule>
  </conditionalFormatting>
  <conditionalFormatting sqref="D118">
    <cfRule type="expression" dxfId="248" priority="27">
      <formula>$F$114=1</formula>
    </cfRule>
  </conditionalFormatting>
  <conditionalFormatting sqref="D107">
    <cfRule type="expression" dxfId="247" priority="26">
      <formula>$F$102=1</formula>
    </cfRule>
  </conditionalFormatting>
  <conditionalFormatting sqref="C64">
    <cfRule type="expression" dxfId="246" priority="25">
      <formula>$C$64="n/a"</formula>
    </cfRule>
  </conditionalFormatting>
  <conditionalFormatting sqref="B82:E84">
    <cfRule type="expression" dxfId="245" priority="24">
      <formula>$F$79="N/A"</formula>
    </cfRule>
  </conditionalFormatting>
  <conditionalFormatting sqref="C61">
    <cfRule type="expression" dxfId="244" priority="21">
      <formula>C61="n/a"</formula>
    </cfRule>
    <cfRule type="expression" dxfId="243" priority="22">
      <formula>C61="No"</formula>
    </cfRule>
    <cfRule type="expression" dxfId="242" priority="23">
      <formula>C61="Yes"</formula>
    </cfRule>
  </conditionalFormatting>
  <conditionalFormatting sqref="B61">
    <cfRule type="expression" dxfId="241" priority="18">
      <formula>B61="n/a"</formula>
    </cfRule>
    <cfRule type="expression" dxfId="240" priority="19">
      <formula>B61="No"</formula>
    </cfRule>
    <cfRule type="expression" dxfId="239" priority="20">
      <formula>B61="Yes"</formula>
    </cfRule>
  </conditionalFormatting>
  <conditionalFormatting sqref="D61:F61">
    <cfRule type="expression" dxfId="238" priority="15">
      <formula>D61="n/a"</formula>
    </cfRule>
    <cfRule type="expression" dxfId="237" priority="16">
      <formula>D61="No"</formula>
    </cfRule>
    <cfRule type="expression" dxfId="236" priority="17">
      <formula>D61="Yes"</formula>
    </cfRule>
  </conditionalFormatting>
  <conditionalFormatting sqref="B70">
    <cfRule type="expression" dxfId="235" priority="12">
      <formula>B70="n/a"</formula>
    </cfRule>
    <cfRule type="expression" dxfId="234" priority="13">
      <formula>B70="No"</formula>
    </cfRule>
    <cfRule type="expression" dxfId="233" priority="14">
      <formula>B70="Yes"</formula>
    </cfRule>
  </conditionalFormatting>
  <conditionalFormatting sqref="B91">
    <cfRule type="expression" dxfId="232" priority="9">
      <formula>B91="n/a"</formula>
    </cfRule>
    <cfRule type="expression" dxfId="231" priority="10">
      <formula>B91="No"</formula>
    </cfRule>
    <cfRule type="expression" dxfId="230" priority="11">
      <formula>B91="Yes"</formula>
    </cfRule>
  </conditionalFormatting>
  <conditionalFormatting sqref="B104">
    <cfRule type="expression" dxfId="229" priority="6">
      <formula>B104="n/a"</formula>
    </cfRule>
    <cfRule type="expression" dxfId="228" priority="7">
      <formula>B104="No"</formula>
    </cfRule>
    <cfRule type="expression" dxfId="227" priority="8">
      <formula>B104="Yes"</formula>
    </cfRule>
  </conditionalFormatting>
  <conditionalFormatting sqref="B116">
    <cfRule type="expression" dxfId="226" priority="3">
      <formula>B116="n/a"</formula>
    </cfRule>
    <cfRule type="expression" dxfId="225" priority="4">
      <formula>B116="No"</formula>
    </cfRule>
    <cfRule type="expression" dxfId="224" priority="5">
      <formula>B116="Yes"</formula>
    </cfRule>
  </conditionalFormatting>
  <conditionalFormatting sqref="F75">
    <cfRule type="expression" dxfId="223" priority="2">
      <formula>$E$75&gt;=5%</formula>
    </cfRule>
  </conditionalFormatting>
  <conditionalFormatting sqref="F76">
    <cfRule type="expression" dxfId="222" priority="1">
      <formula>$E$76&gt;0</formula>
    </cfRule>
  </conditionalFormatting>
  <dataValidations count="2">
    <dataValidation type="decimal" allowBlank="1" showInputMessage="1" showErrorMessage="1" errorTitle="Invalid Longitude" error="You've entered a longitude outside of Vermont.  Longitude values in VT should always be negative." sqref="D6:F6" xr:uid="{25C897B1-4286-402D-83F0-459E76DF0C4A}">
      <formula1>-73.732</formula1>
      <formula2>-71.46</formula2>
    </dataValidation>
    <dataValidation type="decimal" allowBlank="1" showInputMessage="1" showErrorMessage="1" errorTitle="Invalid Latitude!" error="You've entered a latitude that is not in Vermont." sqref="D5:F5" xr:uid="{7ABB7898-F638-48B0-96AC-F898FAAB6241}">
      <formula1>42.72</formula1>
      <formula2>45.02</formula2>
    </dataValidation>
  </dataValidations>
  <hyperlinks>
    <hyperlink ref="E8" r:id="rId1" xr:uid="{70F1B4DF-5117-4910-AE82-CF03A9C44907}"/>
  </hyperlinks>
  <pageMargins left="0.5" right="0.5" top="0.75" bottom="0.75" header="0.3" footer="0.3"/>
  <pageSetup orientation="portrait" r:id="rId2"/>
  <headerFooter>
    <oddHeader>&amp;C&amp;"-,Bold"&amp;14Vermont Operational Stormwater Permit - Standards Compliance Workbook</oddHeader>
    <oddFooter>&amp;LLast Updated 11/20/2017
&amp;R&amp;A: 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22881" r:id="rId5" name="Group Box 1">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22882" r:id="rId6" name="Option Button 2">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22883" r:id="rId7" name="Option Button 3">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22884" r:id="rId8" name="Group Box 4">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22885" r:id="rId9" name="Option Button 5">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22886" r:id="rId10" name="Option Button 6">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22887" r:id="rId11" name="Group Box 7">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22888" r:id="rId12" name="Option Button 8">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22889" r:id="rId13" name="Option Button 9">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22890" r:id="rId14" name="Group Box 10">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22891" r:id="rId15" name="Option Button 11">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22892" r:id="rId16" name="Option Button 12">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22893" r:id="rId17" name="Group Box 13">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22894" r:id="rId18" name="Option Button 14">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22895" r:id="rId19" name="Option Button 15">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22896" r:id="rId20" name="Check Box 16">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22897" r:id="rId21" name="Group Box 17">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22898" r:id="rId22" name="Option Button 18">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22899" r:id="rId23" name="Option Button 19">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22900" r:id="rId24" name="Group Box 20">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22901" r:id="rId25" name="Group Box 2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22902" r:id="rId26" name="Option Button 2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22903" r:id="rId27" name="Option Button 2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22904" r:id="rId28" name="Option Button 24">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22905" r:id="rId29" name="Option Button 25">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17159B47-1B36-4213-9DEA-0758D386ABC8}">
          <x14:formula1>
            <xm:f>Lookup!$G$3:$G$6</xm:f>
          </x14:formula1>
          <xm:sqref>E68:F68</xm:sqref>
        </x14:dataValidation>
        <x14:dataValidation type="list" allowBlank="1" showInputMessage="1" showErrorMessage="1" xr:uid="{EE3B3F67-44CA-4BA9-B951-F5EAD152B025}">
          <x14:formula1>
            <xm:f>Lookup!$H$4:$H$7</xm:f>
          </x14:formula1>
          <xm:sqref>E90:F90</xm:sqref>
        </x14:dataValidation>
        <x14:dataValidation type="list" allowBlank="1" showInputMessage="1" showErrorMessage="1" xr:uid="{4F352820-32E9-4E0D-B13F-47C7D1CB4354}">
          <x14:formula1>
            <xm:f>Lookup!$I$4:$I$8</xm:f>
          </x14:formula1>
          <xm:sqref>E103:F103</xm:sqref>
        </x14:dataValidation>
        <x14:dataValidation type="list" allowBlank="1" showInputMessage="1" showErrorMessage="1" xr:uid="{DB7AD3D7-AA53-4CB9-9B8D-F419B309B0EE}">
          <x14:formula1>
            <xm:f>Lookup!$J$4:$J$8</xm:f>
          </x14:formula1>
          <xm:sqref>E115:F115</xm:sqref>
        </x14:dataValidation>
        <x14:dataValidation type="list" allowBlank="1" showInputMessage="1" showErrorMessage="1" xr:uid="{0B0731EB-E262-49CD-AFAF-F5BE0AC897A9}">
          <x14:formula1>
            <xm:f>Lookup!$H$13:$H$19</xm:f>
          </x14:formula1>
          <xm:sqref>C82:D82 B82:B84</xm:sqref>
        </x14:dataValidation>
        <x14:dataValidation type="list" allowBlank="1" showInputMessage="1" showErrorMessage="1" xr:uid="{9DFFF026-6A04-47C5-BDBF-D7F172E126B2}">
          <x14:formula1>
            <xm:f>Lookup!$G$12:$G$23</xm:f>
          </x14:formula1>
          <xm:sqref>A55</xm:sqref>
        </x14:dataValidation>
        <x14:dataValidation type="list" allowBlank="1" showInputMessage="1" showErrorMessage="1" xr:uid="{CE59C63F-6556-480E-B218-57508ECE140A}">
          <x14:formula1>
            <xm:f>Lookup!$G$11:$G$23</xm:f>
          </x14:formula1>
          <xm:sqref>A50:A54 C50:D54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49B11-A885-4EAF-BF9D-E4B287DDA007}">
  <dimension ref="A1:O125"/>
  <sheetViews>
    <sheetView view="pageLayout" topLeftCell="A10" zoomScaleNormal="100" workbookViewId="0">
      <selection activeCell="B79" sqref="B79"/>
    </sheetView>
  </sheetViews>
  <sheetFormatPr defaultRowHeight="14.4" x14ac:dyDescent="0.3"/>
  <cols>
    <col min="1" max="1" width="21.88671875" style="181" customWidth="1"/>
    <col min="2" max="6" width="12.21875" style="181" customWidth="1"/>
    <col min="7" max="7" width="7.21875" style="181" customWidth="1"/>
    <col min="8" max="8" width="8.88671875" style="181"/>
    <col min="9" max="9" width="8.6640625" style="181" customWidth="1"/>
    <col min="10" max="16384" width="8.88671875" style="181"/>
  </cols>
  <sheetData>
    <row r="1" spans="1:15" ht="18" x14ac:dyDescent="0.35">
      <c r="A1" s="96" t="s">
        <v>32</v>
      </c>
      <c r="B1" s="97"/>
      <c r="C1" s="97"/>
      <c r="D1" s="97"/>
      <c r="E1" s="97"/>
      <c r="F1" s="97"/>
      <c r="G1" s="98"/>
      <c r="H1" s="32"/>
      <c r="I1" s="21"/>
      <c r="J1" s="21"/>
    </row>
    <row r="2" spans="1:15" x14ac:dyDescent="0.3">
      <c r="A2" s="14"/>
      <c r="B2" s="13"/>
      <c r="C2" s="45" t="s">
        <v>29</v>
      </c>
      <c r="D2" s="411" t="str">
        <f>IF(Summary!C1="","",Summary!C1)</f>
        <v>East Street Industrial Park</v>
      </c>
      <c r="E2" s="411"/>
      <c r="F2" s="411"/>
      <c r="G2" s="99"/>
      <c r="H2" s="22"/>
      <c r="I2" s="22"/>
      <c r="J2" s="22"/>
    </row>
    <row r="3" spans="1:15" x14ac:dyDescent="0.3">
      <c r="A3" s="14"/>
      <c r="B3" s="13"/>
      <c r="C3" s="45" t="s">
        <v>30</v>
      </c>
      <c r="D3" s="427"/>
      <c r="E3" s="428"/>
      <c r="F3" s="429"/>
      <c r="G3" s="99"/>
      <c r="H3" s="22"/>
      <c r="I3" s="22"/>
      <c r="J3" s="22"/>
    </row>
    <row r="4" spans="1:15" x14ac:dyDescent="0.3">
      <c r="A4" s="14"/>
      <c r="B4" s="13"/>
      <c r="C4" s="45" t="s">
        <v>31</v>
      </c>
      <c r="D4" s="415"/>
      <c r="E4" s="416"/>
      <c r="F4" s="417"/>
      <c r="G4" s="99"/>
      <c r="H4" s="22"/>
      <c r="I4" s="22"/>
      <c r="J4" s="22"/>
    </row>
    <row r="5" spans="1:15" x14ac:dyDescent="0.3">
      <c r="A5" s="14"/>
      <c r="B5" s="13"/>
      <c r="C5" s="45" t="s">
        <v>172</v>
      </c>
      <c r="D5" s="430"/>
      <c r="E5" s="430"/>
      <c r="F5" s="430"/>
      <c r="G5" s="99"/>
      <c r="H5" s="22"/>
      <c r="I5" s="22"/>
      <c r="J5" s="22"/>
    </row>
    <row r="6" spans="1:15" ht="15.6" customHeight="1" x14ac:dyDescent="0.3">
      <c r="A6" s="14"/>
      <c r="B6" s="13"/>
      <c r="C6" s="46" t="s">
        <v>177</v>
      </c>
      <c r="D6" s="431"/>
      <c r="E6" s="432"/>
      <c r="F6" s="433"/>
      <c r="G6" s="99"/>
      <c r="H6" s="22"/>
      <c r="I6" s="22"/>
      <c r="J6" s="22"/>
    </row>
    <row r="7" spans="1:15" ht="9.6" customHeight="1" x14ac:dyDescent="0.3">
      <c r="A7" s="14"/>
      <c r="B7" s="13"/>
      <c r="C7" s="13"/>
      <c r="D7" s="13"/>
      <c r="E7" s="13"/>
      <c r="F7" s="15"/>
      <c r="G7" s="99"/>
      <c r="H7" s="22"/>
      <c r="I7" s="22"/>
      <c r="J7" s="22"/>
    </row>
    <row r="8" spans="1:15" ht="18" x14ac:dyDescent="0.35">
      <c r="A8" s="91" t="s">
        <v>53</v>
      </c>
      <c r="B8" s="434" t="s">
        <v>40</v>
      </c>
      <c r="C8" s="434"/>
      <c r="D8" s="434"/>
      <c r="E8" s="76" t="s">
        <v>41</v>
      </c>
      <c r="F8" s="13"/>
      <c r="G8" s="60"/>
      <c r="K8" s="23"/>
      <c r="L8" s="13"/>
      <c r="M8" s="13"/>
      <c r="N8" s="13"/>
      <c r="O8" s="13"/>
    </row>
    <row r="9" spans="1:15" x14ac:dyDescent="0.3">
      <c r="A9" s="130" t="s">
        <v>52</v>
      </c>
      <c r="B9" s="131" t="s">
        <v>54</v>
      </c>
      <c r="C9" s="132" t="s">
        <v>55</v>
      </c>
      <c r="D9" s="132" t="s">
        <v>56</v>
      </c>
      <c r="E9" s="132" t="s">
        <v>57</v>
      </c>
      <c r="F9" s="13"/>
      <c r="G9" s="60"/>
      <c r="K9" s="13"/>
      <c r="L9" s="13"/>
      <c r="M9" s="13"/>
      <c r="N9" s="13"/>
    </row>
    <row r="10" spans="1:15" x14ac:dyDescent="0.3">
      <c r="A10" s="61" t="s">
        <v>0</v>
      </c>
      <c r="B10" s="217">
        <v>1</v>
      </c>
      <c r="C10" s="218">
        <v>0</v>
      </c>
      <c r="D10" s="218">
        <v>0</v>
      </c>
      <c r="E10" s="218">
        <v>0</v>
      </c>
      <c r="F10" s="13"/>
      <c r="G10" s="60"/>
      <c r="K10" s="13"/>
      <c r="L10" s="13"/>
      <c r="M10" s="13"/>
      <c r="N10" s="13"/>
    </row>
    <row r="11" spans="1:15" ht="12.6" customHeight="1" thickBot="1" x14ac:dyDescent="0.35">
      <c r="A11" s="100"/>
      <c r="B11" s="101"/>
      <c r="C11" s="102"/>
      <c r="D11" s="102"/>
      <c r="E11" s="102"/>
      <c r="F11" s="102"/>
      <c r="G11" s="70"/>
      <c r="K11" s="13"/>
      <c r="L11" s="6"/>
      <c r="M11" s="13"/>
      <c r="N11" s="13"/>
      <c r="O11" s="13"/>
    </row>
    <row r="12" spans="1:15" ht="15.6" x14ac:dyDescent="0.3">
      <c r="A12" s="77" t="s">
        <v>82</v>
      </c>
      <c r="B12" s="94"/>
      <c r="C12" s="95"/>
      <c r="D12" s="95"/>
      <c r="E12" s="95"/>
      <c r="F12" s="95"/>
      <c r="G12" s="58"/>
      <c r="K12" s="13"/>
      <c r="L12" s="6"/>
      <c r="M12" s="13"/>
      <c r="N12" s="13"/>
      <c r="O12" s="13"/>
    </row>
    <row r="13" spans="1:15" ht="15.6" x14ac:dyDescent="0.3">
      <c r="A13" s="425" t="s">
        <v>58</v>
      </c>
      <c r="B13" s="426"/>
      <c r="C13" s="426"/>
      <c r="D13" s="426"/>
      <c r="E13" s="426"/>
      <c r="F13" s="426"/>
      <c r="G13" s="60"/>
      <c r="K13" s="13"/>
      <c r="L13" s="6"/>
      <c r="M13" s="13"/>
      <c r="N13" s="13"/>
      <c r="O13" s="13"/>
    </row>
    <row r="14" spans="1:15" x14ac:dyDescent="0.3">
      <c r="A14" s="243" t="s">
        <v>8</v>
      </c>
      <c r="B14" s="251" t="s">
        <v>2</v>
      </c>
      <c r="C14" s="251" t="s">
        <v>3</v>
      </c>
      <c r="D14" s="251" t="s">
        <v>4</v>
      </c>
      <c r="E14" s="251" t="s">
        <v>5</v>
      </c>
      <c r="F14" s="245" t="s">
        <v>13</v>
      </c>
      <c r="G14" s="385"/>
      <c r="H14" s="19"/>
      <c r="I14" s="19"/>
      <c r="J14" s="19"/>
      <c r="K14" s="13"/>
      <c r="L14" s="13"/>
      <c r="M14" s="13"/>
      <c r="N14" s="13"/>
      <c r="O14" s="13"/>
    </row>
    <row r="15" spans="1:15" ht="15.6" x14ac:dyDescent="0.3">
      <c r="A15" s="111" t="s">
        <v>6</v>
      </c>
      <c r="B15" s="216">
        <v>0</v>
      </c>
      <c r="C15" s="216">
        <v>0</v>
      </c>
      <c r="D15" s="216">
        <v>0</v>
      </c>
      <c r="E15" s="216">
        <v>0</v>
      </c>
      <c r="F15" s="133">
        <f t="shared" ref="F15:F18" si="0">SUM(B15:E15)</f>
        <v>0</v>
      </c>
      <c r="G15" s="385"/>
      <c r="H15" s="19"/>
      <c r="I15" s="19"/>
      <c r="J15" s="19"/>
      <c r="K15" s="10"/>
      <c r="L15" s="13"/>
      <c r="M15" s="13"/>
      <c r="N15" s="13"/>
      <c r="O15" s="13"/>
    </row>
    <row r="16" spans="1:15" x14ac:dyDescent="0.3">
      <c r="A16" s="111" t="s">
        <v>38</v>
      </c>
      <c r="B16" s="216">
        <v>0</v>
      </c>
      <c r="C16" s="216">
        <v>0</v>
      </c>
      <c r="D16" s="216">
        <v>0</v>
      </c>
      <c r="E16" s="216">
        <v>0</v>
      </c>
      <c r="F16" s="133">
        <f t="shared" si="0"/>
        <v>0</v>
      </c>
      <c r="G16" s="60"/>
      <c r="H16" s="1"/>
      <c r="I16" s="33"/>
      <c r="J16" s="33"/>
      <c r="K16" s="13"/>
      <c r="L16" s="22"/>
      <c r="M16" s="13"/>
      <c r="N16" s="13"/>
      <c r="O16" s="13"/>
    </row>
    <row r="17" spans="1:15" x14ac:dyDescent="0.3">
      <c r="A17" s="111" t="s">
        <v>7</v>
      </c>
      <c r="B17" s="216">
        <v>0</v>
      </c>
      <c r="C17" s="216">
        <v>0</v>
      </c>
      <c r="D17" s="216">
        <v>0</v>
      </c>
      <c r="E17" s="216">
        <v>0</v>
      </c>
      <c r="F17" s="133">
        <f t="shared" si="0"/>
        <v>0</v>
      </c>
      <c r="G17" s="60"/>
      <c r="H17" s="1"/>
      <c r="I17" s="33"/>
      <c r="J17" s="33"/>
      <c r="K17" s="13"/>
      <c r="L17" s="22"/>
      <c r="M17" s="13"/>
      <c r="N17" s="13"/>
      <c r="O17" s="13"/>
    </row>
    <row r="18" spans="1:15" x14ac:dyDescent="0.3">
      <c r="A18" s="224" t="s">
        <v>251</v>
      </c>
      <c r="B18" s="216">
        <v>0</v>
      </c>
      <c r="C18" s="216">
        <v>0</v>
      </c>
      <c r="D18" s="216">
        <v>0</v>
      </c>
      <c r="E18" s="216">
        <v>0</v>
      </c>
      <c r="F18" s="133">
        <f t="shared" si="0"/>
        <v>0</v>
      </c>
      <c r="G18" s="60"/>
      <c r="H18" s="19"/>
      <c r="I18" s="19"/>
      <c r="J18" s="34"/>
      <c r="K18" s="13"/>
      <c r="L18" s="22"/>
      <c r="M18" s="13"/>
      <c r="N18" s="13"/>
      <c r="O18" s="13"/>
    </row>
    <row r="19" spans="1:15" ht="13.8" customHeight="1" x14ac:dyDescent="0.3">
      <c r="A19" s="68"/>
      <c r="B19" s="255"/>
      <c r="C19" s="255"/>
      <c r="D19" s="271"/>
      <c r="E19" s="261" t="s">
        <v>249</v>
      </c>
      <c r="F19" s="274">
        <v>0</v>
      </c>
      <c r="G19" s="60"/>
      <c r="H19" s="19"/>
      <c r="I19" s="19"/>
      <c r="J19" s="34"/>
      <c r="K19" s="13"/>
      <c r="L19" s="6"/>
      <c r="M19" s="13"/>
      <c r="N19" s="13"/>
      <c r="O19" s="13"/>
    </row>
    <row r="20" spans="1:15" ht="13.8" customHeight="1" x14ac:dyDescent="0.3">
      <c r="A20" s="68"/>
      <c r="B20" s="255"/>
      <c r="C20" s="255"/>
      <c r="D20" s="255"/>
      <c r="E20" s="261" t="s">
        <v>250</v>
      </c>
      <c r="F20" s="272">
        <f>SUM(F15:F19)</f>
        <v>0</v>
      </c>
      <c r="G20" s="60"/>
      <c r="H20" s="19"/>
      <c r="I20" s="19"/>
      <c r="J20" s="34"/>
      <c r="K20" s="13"/>
      <c r="L20" s="6"/>
      <c r="M20" s="13"/>
      <c r="N20" s="13"/>
      <c r="O20" s="13"/>
    </row>
    <row r="21" spans="1:15" ht="28.2" customHeight="1" x14ac:dyDescent="0.3">
      <c r="A21" s="353" t="str">
        <f>IF(F18=0,IF(F28+F29+F30&gt;0,"Existing and/or redeveloped impervious has been defined in post development. User must define existing impervious in pre development.",""),"")</f>
        <v/>
      </c>
      <c r="B21" s="354"/>
      <c r="C21" s="354"/>
      <c r="D21" s="354"/>
      <c r="E21" s="354"/>
      <c r="F21" s="354"/>
      <c r="G21" s="355"/>
      <c r="H21" s="19"/>
      <c r="I21" s="19"/>
      <c r="J21" s="34"/>
      <c r="K21" s="13"/>
      <c r="L21" s="6"/>
      <c r="M21" s="13"/>
      <c r="N21" s="13"/>
      <c r="O21" s="13"/>
    </row>
    <row r="22" spans="1:15" ht="15.6" x14ac:dyDescent="0.3">
      <c r="A22" s="397" t="s">
        <v>123</v>
      </c>
      <c r="B22" s="398"/>
      <c r="C22" s="398"/>
      <c r="D22" s="398"/>
      <c r="E22" s="398"/>
      <c r="F22" s="398"/>
      <c r="G22" s="262" t="s">
        <v>246</v>
      </c>
      <c r="H22" s="19"/>
      <c r="I22" s="19"/>
      <c r="J22" s="34"/>
      <c r="K22" s="13"/>
      <c r="L22" s="6"/>
      <c r="M22" s="13"/>
      <c r="N22" s="13"/>
      <c r="O22" s="13"/>
    </row>
    <row r="23" spans="1:15" ht="13.8" customHeight="1" x14ac:dyDescent="0.3">
      <c r="A23" s="243" t="s">
        <v>8</v>
      </c>
      <c r="B23" s="251" t="s">
        <v>2</v>
      </c>
      <c r="C23" s="251" t="s">
        <v>3</v>
      </c>
      <c r="D23" s="251" t="s">
        <v>4</v>
      </c>
      <c r="E23" s="251" t="s">
        <v>5</v>
      </c>
      <c r="F23" s="245" t="s">
        <v>13</v>
      </c>
      <c r="G23" s="60"/>
      <c r="L23" s="6"/>
      <c r="M23" s="13"/>
      <c r="N23" s="13"/>
      <c r="O23" s="13"/>
    </row>
    <row r="24" spans="1:15" x14ac:dyDescent="0.3">
      <c r="A24" s="111" t="s">
        <v>6</v>
      </c>
      <c r="B24" s="216">
        <v>0</v>
      </c>
      <c r="C24" s="216">
        <v>0</v>
      </c>
      <c r="D24" s="216">
        <v>0</v>
      </c>
      <c r="E24" s="216">
        <v>0</v>
      </c>
      <c r="F24" s="133">
        <f>SUM(B24:E24)</f>
        <v>0</v>
      </c>
      <c r="G24" s="60"/>
      <c r="L24" s="13"/>
      <c r="M24" s="13"/>
      <c r="N24" s="13"/>
      <c r="O24" s="13"/>
    </row>
    <row r="25" spans="1:15" x14ac:dyDescent="0.3">
      <c r="A25" s="111" t="s">
        <v>38</v>
      </c>
      <c r="B25" s="216">
        <v>0</v>
      </c>
      <c r="C25" s="216">
        <v>0</v>
      </c>
      <c r="D25" s="216">
        <v>0</v>
      </c>
      <c r="E25" s="216">
        <v>0</v>
      </c>
      <c r="F25" s="133">
        <f>SUM(B25:E25)</f>
        <v>0</v>
      </c>
      <c r="G25" s="60"/>
      <c r="L25" s="13"/>
      <c r="M25" s="13"/>
      <c r="N25" s="13"/>
      <c r="O25" s="13"/>
    </row>
    <row r="26" spans="1:15" x14ac:dyDescent="0.3">
      <c r="A26" s="111" t="s">
        <v>7</v>
      </c>
      <c r="B26" s="216">
        <v>0</v>
      </c>
      <c r="C26" s="216">
        <v>0</v>
      </c>
      <c r="D26" s="216">
        <v>0</v>
      </c>
      <c r="E26" s="216">
        <v>0</v>
      </c>
      <c r="F26" s="133">
        <f>SUM(B26:E26)</f>
        <v>0</v>
      </c>
      <c r="G26" s="60"/>
      <c r="L26" s="6"/>
      <c r="M26" s="13"/>
      <c r="N26" s="13"/>
      <c r="O26" s="13"/>
    </row>
    <row r="27" spans="1:15" x14ac:dyDescent="0.3">
      <c r="A27" s="244" t="s">
        <v>243</v>
      </c>
      <c r="B27" s="256">
        <v>0</v>
      </c>
      <c r="C27" s="256">
        <v>0</v>
      </c>
      <c r="D27" s="256">
        <v>0</v>
      </c>
      <c r="E27" s="256">
        <v>0</v>
      </c>
      <c r="F27" s="257">
        <f>SUM(B27:E27)</f>
        <v>0</v>
      </c>
      <c r="G27" s="263">
        <f>IF(F32=0,0,F27/$F$32)</f>
        <v>0</v>
      </c>
      <c r="L27" s="6"/>
      <c r="M27" s="13"/>
      <c r="N27" s="13"/>
      <c r="O27" s="13"/>
    </row>
    <row r="28" spans="1:15" ht="43.2" x14ac:dyDescent="0.3">
      <c r="A28" s="254" t="s">
        <v>244</v>
      </c>
      <c r="B28" s="253">
        <v>0</v>
      </c>
      <c r="C28" s="253">
        <v>0</v>
      </c>
      <c r="D28" s="253">
        <v>0</v>
      </c>
      <c r="E28" s="253">
        <v>0</v>
      </c>
      <c r="F28" s="234">
        <f>SUM(B28:E28)</f>
        <v>0</v>
      </c>
      <c r="G28" s="264">
        <f>IF(F32=0,0,F28/$F$32)</f>
        <v>0</v>
      </c>
      <c r="L28" s="6"/>
      <c r="M28" s="13"/>
      <c r="N28" s="13"/>
      <c r="O28" s="13"/>
    </row>
    <row r="29" spans="1:15" x14ac:dyDescent="0.3">
      <c r="A29" s="254"/>
      <c r="B29" s="276"/>
      <c r="C29" s="276"/>
      <c r="D29" s="276"/>
      <c r="E29" s="277" t="s">
        <v>247</v>
      </c>
      <c r="F29" s="275">
        <v>0</v>
      </c>
      <c r="G29" s="263">
        <f>IF(F32=0,0,F29/$F$32)</f>
        <v>0</v>
      </c>
      <c r="L29" s="6"/>
      <c r="M29" s="13"/>
      <c r="N29" s="13"/>
      <c r="O29" s="13"/>
    </row>
    <row r="30" spans="1:15" x14ac:dyDescent="0.3">
      <c r="A30" s="14"/>
      <c r="B30" s="278"/>
      <c r="C30" s="278"/>
      <c r="D30" s="278"/>
      <c r="E30" s="279" t="s">
        <v>39</v>
      </c>
      <c r="F30" s="275">
        <v>0</v>
      </c>
      <c r="G30" s="263">
        <f>IF(F32=0,0,F30/$F$32)</f>
        <v>0</v>
      </c>
      <c r="H30" s="19"/>
      <c r="I30" s="19"/>
      <c r="J30" s="34"/>
      <c r="K30" s="13"/>
      <c r="L30" s="6"/>
      <c r="M30" s="13"/>
      <c r="N30" s="13"/>
      <c r="O30" s="13"/>
    </row>
    <row r="31" spans="1:15" x14ac:dyDescent="0.3">
      <c r="A31" s="14"/>
      <c r="B31" s="356" t="s">
        <v>248</v>
      </c>
      <c r="C31" s="356"/>
      <c r="D31" s="356"/>
      <c r="E31" s="356"/>
      <c r="F31" s="273">
        <f>F19</f>
        <v>0</v>
      </c>
      <c r="G31" s="263">
        <f>IF(F32=0,0,F31/$F$32)</f>
        <v>0</v>
      </c>
      <c r="H31" s="19"/>
      <c r="I31" s="19"/>
      <c r="J31" s="34"/>
      <c r="K31" s="13"/>
      <c r="L31" s="6"/>
      <c r="M31" s="13"/>
      <c r="N31" s="13"/>
      <c r="O31" s="13"/>
    </row>
    <row r="32" spans="1:15" x14ac:dyDescent="0.3">
      <c r="A32" s="14"/>
      <c r="B32" s="278"/>
      <c r="C32" s="278"/>
      <c r="D32" s="280"/>
      <c r="E32" s="281" t="s">
        <v>9</v>
      </c>
      <c r="F32" s="235">
        <f>SUM(F24:F31)</f>
        <v>0</v>
      </c>
      <c r="G32" s="60"/>
      <c r="H32" s="1"/>
      <c r="I32" s="33"/>
      <c r="J32" s="33"/>
      <c r="K32" s="13"/>
      <c r="L32" s="6"/>
      <c r="M32" s="13"/>
      <c r="N32" s="13"/>
      <c r="O32" s="13"/>
    </row>
    <row r="33" spans="1:15" ht="7.2" customHeight="1" x14ac:dyDescent="0.3">
      <c r="A33" s="14"/>
      <c r="B33" s="13"/>
      <c r="C33" s="13"/>
      <c r="D33" s="255"/>
      <c r="E33" s="145"/>
      <c r="F33" s="255"/>
      <c r="G33" s="60"/>
      <c r="H33" s="1"/>
      <c r="I33" s="33"/>
      <c r="J33" s="33"/>
      <c r="K33" s="13"/>
      <c r="L33" s="6"/>
      <c r="M33" s="13"/>
      <c r="N33" s="13"/>
      <c r="O33" s="13"/>
    </row>
    <row r="34" spans="1:15" x14ac:dyDescent="0.3">
      <c r="A34" s="14"/>
      <c r="B34" s="13"/>
      <c r="C34" s="13"/>
      <c r="D34" s="255"/>
      <c r="E34" s="260" t="s">
        <v>220</v>
      </c>
      <c r="F34" s="235">
        <f>F31+F30+F28+F27</f>
        <v>0</v>
      </c>
      <c r="G34" s="60"/>
      <c r="H34" s="1"/>
      <c r="I34" s="33"/>
      <c r="J34" s="33"/>
      <c r="K34" s="13"/>
      <c r="L34" s="6"/>
      <c r="M34" s="13"/>
      <c r="N34" s="13"/>
      <c r="O34" s="13"/>
    </row>
    <row r="35" spans="1:15" x14ac:dyDescent="0.3">
      <c r="A35" s="14"/>
      <c r="B35" s="13"/>
      <c r="C35" s="13"/>
      <c r="D35" s="255"/>
      <c r="E35" s="261" t="s">
        <v>202</v>
      </c>
      <c r="F35" s="259">
        <f>IF(F18-(F27+F28+F30+F29+F31)&lt;0,0,F18-(F27+F28+F30+F29+F31))</f>
        <v>0</v>
      </c>
      <c r="G35" s="263">
        <f>IF(F18=0,0,F35/F18)</f>
        <v>0</v>
      </c>
      <c r="H35" s="1"/>
      <c r="I35" s="33"/>
      <c r="J35" s="33"/>
      <c r="K35" s="13"/>
      <c r="L35" s="6"/>
      <c r="M35" s="13"/>
      <c r="N35" s="13"/>
      <c r="O35" s="13"/>
    </row>
    <row r="36" spans="1:15" x14ac:dyDescent="0.3">
      <c r="A36" s="14"/>
      <c r="B36" s="13"/>
      <c r="C36" s="13"/>
      <c r="D36" s="255"/>
      <c r="E36" s="261" t="s">
        <v>245</v>
      </c>
      <c r="F36" s="259">
        <f>IF((F18-F29-F28-F30)&lt;0,0,(F18-F29-F28-F30))</f>
        <v>0</v>
      </c>
      <c r="G36" s="263">
        <f>IF(F18-F28-F29=0,0,F36/(F18-F28-F29))</f>
        <v>0</v>
      </c>
      <c r="H36" s="1"/>
      <c r="I36" s="33"/>
      <c r="J36" s="33"/>
      <c r="K36" s="13"/>
      <c r="L36" s="6"/>
      <c r="M36" s="13"/>
      <c r="N36" s="13"/>
      <c r="O36" s="13"/>
    </row>
    <row r="37" spans="1:15" ht="7.2" customHeight="1" x14ac:dyDescent="0.3">
      <c r="A37" s="14"/>
      <c r="B37" s="13"/>
      <c r="C37" s="13"/>
      <c r="D37" s="255"/>
      <c r="E37" s="258"/>
      <c r="F37" s="19"/>
      <c r="G37" s="60"/>
      <c r="H37" s="1"/>
      <c r="I37" s="33"/>
      <c r="J37" s="33"/>
      <c r="K37" s="13"/>
      <c r="L37" s="6"/>
      <c r="M37" s="13"/>
      <c r="N37" s="13"/>
      <c r="O37" s="13"/>
    </row>
    <row r="38" spans="1:15" ht="30.6" customHeight="1" thickBot="1" x14ac:dyDescent="0.35">
      <c r="A38" s="402" t="str">
        <f>IF(F32=F20,"","WARNING: Pre development and post development areas don't match, so evaluation of the Hydrologic Condition Method is not appropriate within this drainage area. Designer may consider HCM across drainage areas.")</f>
        <v/>
      </c>
      <c r="B38" s="403"/>
      <c r="C38" s="403"/>
      <c r="D38" s="403"/>
      <c r="E38" s="403"/>
      <c r="F38" s="403"/>
      <c r="G38" s="404"/>
      <c r="H38" s="1"/>
      <c r="I38" s="33"/>
      <c r="J38" s="33"/>
      <c r="K38" s="13"/>
      <c r="L38" s="6"/>
      <c r="M38" s="13"/>
      <c r="N38" s="13"/>
      <c r="O38" s="13"/>
    </row>
    <row r="39" spans="1:15" ht="43.2" x14ac:dyDescent="0.3">
      <c r="A39" s="405" t="s">
        <v>242</v>
      </c>
      <c r="B39" s="406"/>
      <c r="C39" s="57"/>
      <c r="D39" s="236"/>
      <c r="E39" s="237" t="s">
        <v>219</v>
      </c>
      <c r="F39" s="238" t="s">
        <v>218</v>
      </c>
      <c r="G39" s="58"/>
      <c r="H39" s="1"/>
      <c r="I39" s="33"/>
      <c r="K39" s="13"/>
      <c r="L39" s="6"/>
      <c r="M39" s="13"/>
      <c r="N39" s="13"/>
      <c r="O39" s="13"/>
    </row>
    <row r="40" spans="1:15" ht="14.4" customHeight="1" x14ac:dyDescent="0.3">
      <c r="A40" s="407"/>
      <c r="B40" s="408"/>
      <c r="C40" s="13"/>
      <c r="D40" s="20" t="s">
        <v>216</v>
      </c>
      <c r="E40" s="198">
        <v>0</v>
      </c>
      <c r="F40" s="171">
        <v>0</v>
      </c>
      <c r="G40" s="60"/>
      <c r="H40" s="1"/>
      <c r="I40" s="33"/>
      <c r="J40" s="33"/>
      <c r="K40" s="13"/>
      <c r="L40" s="6"/>
      <c r="M40" s="13"/>
      <c r="N40" s="13"/>
      <c r="O40" s="13"/>
    </row>
    <row r="41" spans="1:15" ht="14.4" customHeight="1" x14ac:dyDescent="0.3">
      <c r="A41" s="407"/>
      <c r="B41" s="408"/>
      <c r="C41" s="13"/>
      <c r="D41" s="20" t="s">
        <v>217</v>
      </c>
      <c r="E41" s="198">
        <v>0</v>
      </c>
      <c r="F41" s="171">
        <v>0</v>
      </c>
      <c r="G41" s="60"/>
      <c r="H41" s="1"/>
      <c r="I41" s="33"/>
      <c r="J41" s="33"/>
      <c r="K41" s="13"/>
      <c r="L41" s="6"/>
      <c r="M41" s="13"/>
      <c r="N41" s="13"/>
      <c r="O41" s="13"/>
    </row>
    <row r="42" spans="1:15" ht="7.2" customHeight="1" thickBot="1" x14ac:dyDescent="0.35">
      <c r="A42" s="16"/>
      <c r="B42" s="92"/>
      <c r="C42" s="192"/>
      <c r="D42" s="192"/>
      <c r="E42" s="192"/>
      <c r="F42" s="193"/>
      <c r="G42" s="70"/>
      <c r="H42" s="1"/>
      <c r="I42" s="33"/>
      <c r="J42" s="33"/>
      <c r="K42" s="13"/>
      <c r="L42" s="6"/>
      <c r="M42" s="13"/>
      <c r="N42" s="13"/>
      <c r="O42" s="13"/>
    </row>
    <row r="43" spans="1:15" ht="14.4" customHeight="1" x14ac:dyDescent="0.35">
      <c r="A43" s="56" t="s">
        <v>59</v>
      </c>
      <c r="B43" s="240"/>
      <c r="C43" s="57"/>
      <c r="D43" s="123" t="s">
        <v>60</v>
      </c>
      <c r="E43" s="123" t="s">
        <v>61</v>
      </c>
      <c r="F43" s="123" t="s">
        <v>62</v>
      </c>
      <c r="G43" s="58"/>
      <c r="K43" s="10"/>
      <c r="L43" s="13"/>
      <c r="M43" s="13"/>
      <c r="N43" s="13"/>
      <c r="O43" s="13"/>
    </row>
    <row r="44" spans="1:15" ht="14.4" customHeight="1" x14ac:dyDescent="0.3">
      <c r="A44" s="399" t="s">
        <v>112</v>
      </c>
      <c r="B44" s="386"/>
      <c r="C44" s="400"/>
      <c r="D44" s="265">
        <f>(IF($C$10&lt;0.2*Lookup!$B$13,0,(('SN4'!$C$10-0.2*Lookup!$B$13)^2/('SN4'!$C$10+0.8*Lookup!$B$13)))*$B$15+IF($C$10&lt;0.2*Lookup!$B$14,0,(('SN4'!$C$10-0.2*Lookup!$B$14)^2/('SN4'!$C$10+0.8*Lookup!$B$14)))*$B$16+IF($C$10&lt;0.2*Lookup!$B$15,0,(('SN4'!$C$10-0.2*Lookup!$B$15)^2/('SN4'!$C$10+0.8*Lookup!$B$15)))*$B$17++IF($C$10&lt;0.2*Lookup!$B$17,0,(('SN4'!$C$10-0.2*Lookup!$B$17)^2/('SN4'!$C$10+0.8*Lookup!$B$17)))*$B$18+IF($C$10&lt;0.2*Lookup!$C$13,0,(('SN4'!$C$10-0.2*Lookup!$C$13)^2/('SN4'!C$10+0.8*Lookup!$C$13)))*$C$15+IF($C$10&lt;0.2*Lookup!$C$14,0,(('SN4'!$C$10-0.2*Lookup!$C$14)^2/('SN4'!$C$10+0.8*Lookup!$C$14)))*$C$16+IF($C$10&lt;0.2*Lookup!$C$15,0,(('SN4'!$C$10-0.2*Lookup!$C$15)^2/('SN4'!$C$10+0.8*Lookup!$C$15)))*$C$17+IF($C$10&lt;0.2*Lookup!$C$17,0,(('SN4'!$C$10-0.2*Lookup!$C$17)^2/('SN4'!$C$10+0.8*Lookup!$C$17)))*$C$18+IF($C$10&lt;0.2*Lookup!$D$13,0,(('SN4'!$C$10-0.2*Lookup!$D$13)^2/('SN4'!$C$10+0.8*Lookup!$D$13)))*$D$15+IF($C$10&lt;0.2*Lookup!$D$14,0,(('SN4'!$C$10-0.2*Lookup!$D$14)^2/('SN4'!$C$10+0.8*Lookup!$D$14)))*$D$16+IF($C$10&lt;0.2*Lookup!$D$15,0,(('SN4'!$C$10-0.2*Lookup!$D$15)^2/('SN4'!$C$10+0.8*Lookup!$D$15)))*$D$17+IF($C$10&lt;0.2*Lookup!$D$17,0,(('SN4'!$C$10-0.2*Lookup!$D$17)^2/('SN4'!$C$10+0.8*Lookup!$D$17)))*$D$18+IF($C$10&lt;0.2*Lookup!$E$13,0,(('SN4'!$C$10-0.2*Lookup!$E$13)^2/('SN4'!$C$10+0.8*Lookup!$E$13)))*$E$15+IF($C$10&lt;0.2*Lookup!$E$14,0,(('SN4'!$C$10-0.2*Lookup!$E$14)^2/('SN4'!$C$10+0.8*Lookup!$E$14)))*$E$16+IF($C$10&lt;0.2*Lookup!$E$15,0,(('SN4'!$C$10-0.2*Lookup!$E$15)^2/('SN4'!$C$10+0.8*Lookup!$E$15)))*$E$17+IF($C$10&lt;0.2*Lookup!$E$17,0,(('SN4'!$C$10-0.2*Lookup!$E$17)^2/('SN4'!$C$10+0.8*Lookup!$E$17)))*$E$18)/12</f>
        <v>0</v>
      </c>
      <c r="E44" s="265">
        <f>(IF($D$10&lt;0.2*Lookup!$B$13,0,(('SN4'!$D$10-0.2*Lookup!$B$13)^2/('SN4'!$D$10+0.8*Lookup!$B$13)))*$B$15+IF($D$10&lt;0.2*Lookup!$B$14,0,(('SN4'!$D$10-0.2*Lookup!$B$14)^2/('SN4'!$D$10+0.8*Lookup!$B$14)))*$B$16+IF($D$10&lt;0.2*Lookup!$B$15,0,(('SN4'!$D$10-0.2*Lookup!$B$15)^2/('SN4'!$D$10+0.8*Lookup!$B$15)))*$B$17++IF($D$10&lt;0.2*Lookup!$B$17,0,(('SN4'!$D$10-0.2*Lookup!$B$17)^2/('SN4'!$D$10+0.8*Lookup!$B$17)))*$B$18+IF($D$10&lt;0.2*Lookup!$C$13,0,(('SN4'!$D$10-0.2*Lookup!$C$13)^2/('SN4'!C$10+0.8*Lookup!$C$13)))*$C$15+IF($D$10&lt;0.2*Lookup!$C$14,0,(('SN4'!$D$10-0.2*Lookup!$C$14)^2/('SN4'!$D$10+0.8*Lookup!$C$14)))*$C$16+IF($D$10&lt;0.2*Lookup!$C$15,0,(('SN4'!$D$10-0.2*Lookup!$C$15)^2/('SN4'!$D$10+0.8*Lookup!$C$15)))*$C$17+IF($D$10&lt;0.2*Lookup!$C$17,0,(('SN4'!$D$10-0.2*Lookup!$C$17)^2/('SN4'!$D$10+0.8*Lookup!$C$17)))*$C$18+IF($D$10&lt;0.2*Lookup!$D$13,0,(('SN4'!$D$10-0.2*Lookup!$D$13)^2/('SN4'!$D$10+0.8*Lookup!$D$13)))*$D$15+IF($D$10&lt;0.2*Lookup!$D$14,0,(('SN4'!$D$10-0.2*Lookup!$D$14)^2/('SN4'!$D$10+0.8*Lookup!$D$14)))*$D$16+IF($D$10&lt;0.2*Lookup!$D$15,0,(('SN4'!$D$10-0.2*Lookup!$D$15)^2/('SN4'!$D$10+0.8*Lookup!$D$15)))*$D$17+IF($D$10&lt;0.2*Lookup!$D$17,0,(('SN4'!$D$10-0.2*Lookup!$D$17)^2/('SN4'!$D$10+0.8*Lookup!$D$17)))*$D$18+IF($D$10&lt;0.2*Lookup!$E$13,0,(('SN4'!$D$10-0.2*Lookup!$E$13)^2/('SN4'!$D$10+0.8*Lookup!$E$13)))*$E$15+IF($D$10&lt;0.2*Lookup!$E$14,0,(('SN4'!$D$10-0.2*Lookup!$E$14)^2/('SN4'!$D$10+0.8*Lookup!$E$14)))*$E$16+IF($D$10&lt;0.2*Lookup!$E$15,0,(('SN4'!$D$10-0.2*Lookup!$E$15)^2/('SN4'!$D$10+0.8*Lookup!$E$15)))*$E$17++IF($D$10&lt;0.2*Lookup!$E$17,0,(('SN4'!$D$10-0.2*Lookup!$E$17)^2/('SN4'!$D$10+0.8*Lookup!$E$17)))*$E$18)/12</f>
        <v>0</v>
      </c>
      <c r="F44" s="265">
        <f>(IF($E$10&lt;0.2*Lookup!$B$13,0,(('SN4'!$E$10-0.2*Lookup!$B$13)^2/('SN4'!$E$10+0.8*Lookup!$B$13)))*$B$15+IF($E$10&lt;0.2*Lookup!$B$14,0,(('SN4'!$E$10-0.2*Lookup!$B$14)^2/('SN4'!$E$10+0.8*Lookup!$B$14)))*$B$16+IF($E$10&lt;0.2*Lookup!$B$15,0,(('SN4'!$E$10-0.2*Lookup!$B$15)^2/('SN4'!$E$10+0.8*Lookup!$B$15)))*$B$17++IF($E$10&lt;0.2*Lookup!$B$17,0,(('SN4'!$E$10-0.2*Lookup!$B$17)^2/('SN4'!$E$10+0.8*Lookup!$B$17)))*$B$18+IF($E$10&lt;0.2*Lookup!$C$13,0,(('SN4'!$E$10-0.2*Lookup!$C$13)^2/('SN4'!C$10+0.8*Lookup!$C$13)))*$C$15+IF($E$10&lt;0.2*Lookup!$C$14,0,(('SN4'!$E$10-0.2*Lookup!$C$14)^2/('SN4'!$E$10+0.8*Lookup!$C$14)))*$C$16+IF($E$10&lt;0.2*Lookup!$C$15,0,(('SN4'!$E$10-0.2*Lookup!$C$15)^2/('SN4'!$E$10+0.8*Lookup!$C$15)))*$C$17+IF($E$10&lt;0.2*Lookup!$C$17,0,(('SN4'!$E$10-0.2*Lookup!$C$17)^2/('SN4'!$E$10+0.8*Lookup!$C$17)))*$C$18+IF($E$10&lt;0.2*Lookup!$D$13,0,(('SN4'!$E$10-0.2*Lookup!$D$13)^2/('SN4'!$E$10+0.8*Lookup!$D$13)))*$D$15+IF($E$10&lt;0.2*Lookup!$D$14,0,(('SN4'!$E$10-0.2*Lookup!$D$14)^2/('SN4'!$E$10+0.8*Lookup!$D$14)))*$D$16+IF($E$10&lt;0.2*Lookup!$D$15,0,(('SN4'!$E$10-0.2*Lookup!$D$15)^2/('SN4'!$E$10+0.8*Lookup!$D$15)))*$D$17+IF($E$10&lt;0.2*Lookup!$D$17,0,(('SN4'!$E$10-0.2*Lookup!$D$17)^2/('SN4'!$E$10+0.8*Lookup!$D$17)))*$D$18+IF($E$10&lt;0.2*Lookup!$E$13,0,(('SN4'!$E$10-0.2*Lookup!$E$13)^2/('SN4'!$E$10+0.8*Lookup!$E$13)))*$E$15+IF($E$10&lt;0.2*Lookup!$E$14,0,(('SN4'!$E$10-0.2*Lookup!$E$14)^2/('SN4'!$E$10+0.8*Lookup!$E$14)))*$E$16+IF($E$10&lt;0.2*Lookup!$E$15,0,(('SN4'!$E$10-0.2*Lookup!$E$15)^2/('SN4'!$E$10+0.8*Lookup!$E$15)))*$E$17++IF($E$10&lt;0.2*Lookup!$E$17,0,(('SN4'!$E$10-0.2*Lookup!$E$17)^2/('SN4'!$E$10+0.8*Lookup!$E$17)))*$E$18)/12</f>
        <v>0</v>
      </c>
      <c r="G44" s="60"/>
      <c r="K44" s="13"/>
      <c r="L44" s="6"/>
      <c r="M44" s="13"/>
      <c r="N44" s="13"/>
      <c r="O44" s="13"/>
    </row>
    <row r="45" spans="1:15" ht="14.4" customHeight="1" x14ac:dyDescent="0.3">
      <c r="A45" s="399" t="s">
        <v>113</v>
      </c>
      <c r="B45" s="386"/>
      <c r="C45" s="400"/>
      <c r="D45" s="265">
        <f>(IF($C$10&lt;0.2*Lookup!$B$13,0,(('SN4'!$C$10-0.2*Lookup!$B$13)^2/('SN4'!$C$10+0.8*Lookup!$B$13)))*$B$24+IF($C$10&lt;0.2*Lookup!$B$14,0,(('SN4'!$C$10-0.2*Lookup!$B$14)^2/('SN4'!$C$10+0.8*Lookup!$B$14)))*$B$25+IF($C$10&lt;0.2*Lookup!$B$15,0,(('SN4'!$C$10-0.2*Lookup!$B$15)^2/('SN4'!$C$10+0.8*Lookup!$B$15)))*$B$26+IF($C$10&lt;0.2*Lookup!$C$13,0,(('SN4'!$C$10-0.2*Lookup!$C$13)^2/('SN4'!C$10+0.8*Lookup!$C$13)))*$C$24+IF($C$10&lt;0.2*Lookup!$C$14,0,(('SN4'!$C$10-0.2*Lookup!$C$14)^2/('SN4'!$C$10+0.8*Lookup!$C$14)))*$C$25+IF($C$10&lt;0.2*Lookup!$C$15,0,(('SN4'!$C$10-0.2*Lookup!$C$15)^2/('SN4'!$C$10+0.8*Lookup!$C$15)))*$C$26+IF($C$10&lt;0.2*Lookup!$D$13,0,(('SN4'!$C$10-0.2*Lookup!$D$13)^2/('SN4'!$C$10+0.8*Lookup!$D$13)))*$D$24+IF($C$10&lt;0.2*Lookup!$D$14,0,(('SN4'!$C$10-0.2*Lookup!$D$14)^2/('SN4'!$C$10+0.8*Lookup!$D$14)))*$D$25+IF($C$10&lt;0.2*Lookup!$D$15,0,(('SN4'!$C$10-0.2*Lookup!$D$15)^2/('SN4'!$C$10+0.8*Lookup!$D$15)))*$D$26+IF($C$10&lt;0.2*Lookup!$E$13,0,(('SN4'!$C$10-0.2*Lookup!$E$13)^2/('SN4'!$C$10+0.8*Lookup!$E$13)))*$E$24+IF($C$10&lt;0.2*Lookup!$E$14,0,(('SN4'!$C$10-0.2*Lookup!$E$14)^2/('SN4'!$C$10+0.8*Lookup!$E$14)))*$E$25+IF($C$10&lt;0.2*Lookup!$E$15,0,(('SN4'!$C$10-0.2*Lookup!$E$15)^2/('SN4'!$C$10+0.8*Lookup!$E$15)))*$E$26+(($C$10-0.2*Lookup!B17)^2/($C$10+0.8*Lookup!B17)*(F27+F28+F29+F30)))/12</f>
        <v>0</v>
      </c>
      <c r="E45" s="265">
        <f>(IF($D$10&lt;0.2*Lookup!$B$13,0,(('SN4'!$D$10-0.2*Lookup!$B$13)^2/('SN4'!$D$10+0.8*Lookup!$B$13)))*$B$24+IF($D$10&lt;0.2*Lookup!$B$14,0,(('SN4'!$D$10-0.2*Lookup!$B$14)^2/('SN4'!$D$10+0.8*Lookup!$B$14)))*$B$25+IF($D$10&lt;0.2*Lookup!$B$15,0,(('SN4'!$D$10-0.2*Lookup!$B$15)^2/('SN4'!$D$10+0.8*Lookup!$B$15)))*$B$26+IF($D$10&lt;0.2*Lookup!$C$13,0,(('SN4'!$D$10-0.2*Lookup!$C$13)^2/('SN4'!C$10+0.8*Lookup!$C$13)))*$C$24+IF($D$10&lt;0.2*Lookup!$C$14,0,(('SN4'!$D$10-0.2*Lookup!$C$14)^2/('SN4'!$D$10+0.8*Lookup!$C$14)))*$C$25+IF($D$10&lt;0.2*Lookup!$C$15,0,(('SN4'!$D$10-0.2*Lookup!$C$15)^2/('SN4'!$D$10+0.8*Lookup!$C$15)))*$C$26+IF($D$10&lt;0.2*Lookup!$D$13,0,(('SN4'!$D$10-0.2*Lookup!$D$13)^2/('SN4'!$D$10+0.8*Lookup!$D$13)))*$D$24+IF($D$10&lt;0.2*Lookup!$D$14,0,(('SN4'!$D$10-0.2*Lookup!$D$14)^2/('SN4'!$D$10+0.8*Lookup!$D$14)))*$D$25+IF($D$10&lt;0.2*Lookup!$D$15,0,(('SN4'!$D$10-0.2*Lookup!$D$15)^2/('SN4'!$D$10+0.8*Lookup!$D$15)))*$D$26+IF($D$10&lt;0.2*Lookup!$E$13,0,(('SN4'!$D$10-0.2*Lookup!$E$13)^2/('SN4'!$D$10+0.8*Lookup!$E$13)))*$E$24+IF($D$10&lt;0.2*Lookup!$E$14,0,(('SN4'!$D$10-0.2*Lookup!$E$14)^2/('SN4'!$D$10+0.8*Lookup!$E$14)))*$E$25+IF($D$10&lt;0.2*Lookup!$E$15,0,(('SN4'!$D$10-0.2*Lookup!$E$15)^2/('SN4'!$D$10+0.8*Lookup!$E$15)))*$E$26+(($D$10-0.2*Lookup!B17)^2/($D$10+0.8*Lookup!B17)*(F27+F28+F29+F30)))/12</f>
        <v>0</v>
      </c>
      <c r="F45" s="265">
        <f>(IF($E$10&lt;0.2*Lookup!$B$13,0,(('SN4'!$E$10-0.2*Lookup!$B$13)^2/('SN4'!$E$10+0.8*Lookup!$B$13)))*$B$24+IF($E$10&lt;0.2*Lookup!$B$14,0,(('SN4'!$E$10-0.2*Lookup!$B$14)^2/('SN4'!$E$10+0.8*Lookup!$B$14)))*$B$25+IF($E$10&lt;0.2*Lookup!$B$15,0,(('SN4'!$E$10-0.2*Lookup!$B$15)^2/('SN4'!$E$10+0.8*Lookup!$B$15)))*$B$26+IF($E$10&lt;0.2*Lookup!$C$13,0,(('SN4'!$E$10-0.2*Lookup!$C$13)^2/('SN4'!C$10+0.8*Lookup!$C$13)))*$C$24+IF($E$10&lt;0.2*Lookup!$C$14,0,(('SN4'!$E$10-0.2*Lookup!$C$14)^2/('SN4'!$E$10+0.8*Lookup!$C$14)))*$C$25+IF($E$10&lt;0.2*Lookup!$C$15,0,(('SN4'!$E$10-0.2*Lookup!$C$15)^2/('SN4'!$E$10+0.8*Lookup!$C$15)))*$C$26+IF($E$10&lt;0.2*Lookup!$D$13,0,(('SN4'!$E$10-0.2*Lookup!$D$13)^2/('SN4'!$E$10+0.8*Lookup!$D$13)))*$D$24+IF($E$10&lt;0.2*Lookup!$D$14,0,(('SN4'!$E$10-0.2*Lookup!$D$14)^2/('SN4'!$E$10+0.8*Lookup!$D$14)))*$D$25+IF($E$10&lt;0.2*Lookup!$D$15,0,(('SN4'!$E$10-0.2*Lookup!$D$15)^2/('SN4'!$E$10+0.8*Lookup!$D$15)))*$D$26+IF($E$10&lt;0.2*Lookup!$E$13,0,(('SN4'!$E$10-0.2*Lookup!$E$13)^2/('SN4'!$E$10+0.8*Lookup!$E$13)))*$E$24+IF($E$10&lt;0.2*Lookup!$E$14,0,(('SN4'!$E$10-0.2*Lookup!$E$14)^2/('SN4'!$E$10+0.8*Lookup!$E$14)))*$E$25+IF($E$10&lt;0.2*Lookup!$E$15,0,(('SN4'!$E$10-0.2*Lookup!$E$15)^2/('SN4'!$E$10+0.8*Lookup!$E$15)))*$E$26+(($E$10-0.2*Lookup!B17)^2/($E$10+0.8*Lookup!B17)*(F27+F28+F29+F30)))/12</f>
        <v>0</v>
      </c>
      <c r="G45" s="60"/>
      <c r="K45" s="13"/>
      <c r="L45" s="6"/>
      <c r="M45" s="13"/>
      <c r="N45" s="13"/>
      <c r="O45" s="13"/>
    </row>
    <row r="46" spans="1:15" ht="15.6" customHeight="1" thickBot="1" x14ac:dyDescent="0.35">
      <c r="A46" s="16"/>
      <c r="B46" s="89"/>
      <c r="C46" s="92"/>
      <c r="D46" s="93"/>
      <c r="E46" s="89"/>
      <c r="F46" s="89"/>
      <c r="G46" s="70"/>
      <c r="K46" s="13"/>
      <c r="L46" s="6"/>
      <c r="M46" s="13"/>
      <c r="N46" s="13"/>
      <c r="O46" s="13"/>
    </row>
    <row r="47" spans="1:15" ht="15.6" x14ac:dyDescent="0.3">
      <c r="A47" s="56" t="s">
        <v>64</v>
      </c>
      <c r="B47" s="85"/>
      <c r="C47" s="86"/>
      <c r="D47" s="87"/>
      <c r="E47" s="85"/>
      <c r="F47" s="85"/>
      <c r="G47" s="58"/>
      <c r="K47" s="13"/>
      <c r="L47" s="6"/>
      <c r="M47" s="13"/>
      <c r="N47" s="13"/>
      <c r="O47" s="13"/>
    </row>
    <row r="48" spans="1:15" ht="44.4" customHeight="1" x14ac:dyDescent="0.3">
      <c r="A48" s="394" t="s">
        <v>214</v>
      </c>
      <c r="B48" s="395"/>
      <c r="C48" s="395"/>
      <c r="D48" s="395"/>
      <c r="E48" s="395"/>
      <c r="F48" s="395"/>
      <c r="G48" s="396"/>
      <c r="K48" s="13"/>
      <c r="L48" s="6"/>
      <c r="M48" s="13"/>
      <c r="N48" s="13"/>
      <c r="O48" s="13"/>
    </row>
    <row r="49" spans="1:15" ht="15.6" x14ac:dyDescent="0.35">
      <c r="A49" s="88" t="s">
        <v>71</v>
      </c>
      <c r="B49" s="117" t="s">
        <v>166</v>
      </c>
      <c r="C49" s="409" t="s">
        <v>71</v>
      </c>
      <c r="D49" s="410"/>
      <c r="E49" s="42" t="s">
        <v>166</v>
      </c>
      <c r="F49" s="19"/>
      <c r="G49" s="60"/>
      <c r="K49" s="13"/>
      <c r="L49" s="6"/>
      <c r="M49" s="13"/>
      <c r="N49" s="13"/>
      <c r="O49" s="13"/>
    </row>
    <row r="50" spans="1:15" x14ac:dyDescent="0.3">
      <c r="A50" s="195"/>
      <c r="B50" s="172"/>
      <c r="C50" s="351"/>
      <c r="D50" s="352"/>
      <c r="E50" s="173"/>
      <c r="F50" s="13"/>
      <c r="G50" s="60"/>
      <c r="I50" s="113"/>
      <c r="J50" s="113"/>
      <c r="K50" s="113"/>
      <c r="L50" s="6"/>
      <c r="M50" s="13"/>
      <c r="N50" s="13"/>
      <c r="O50" s="13"/>
    </row>
    <row r="51" spans="1:15" x14ac:dyDescent="0.3">
      <c r="A51" s="195"/>
      <c r="B51" s="172"/>
      <c r="C51" s="351"/>
      <c r="D51" s="352"/>
      <c r="E51" s="173"/>
      <c r="F51" s="13"/>
      <c r="G51" s="60"/>
      <c r="I51" s="113"/>
      <c r="J51" s="113"/>
      <c r="K51" s="113"/>
      <c r="L51" s="6"/>
      <c r="M51" s="13"/>
      <c r="N51" s="13"/>
      <c r="O51" s="13"/>
    </row>
    <row r="52" spans="1:15" x14ac:dyDescent="0.3">
      <c r="A52" s="195"/>
      <c r="B52" s="172"/>
      <c r="C52" s="351"/>
      <c r="D52" s="352"/>
      <c r="E52" s="173"/>
      <c r="F52" s="13"/>
      <c r="G52" s="60"/>
      <c r="I52" s="113"/>
      <c r="J52" s="113"/>
      <c r="K52" s="113"/>
      <c r="L52" s="6"/>
      <c r="M52" s="13"/>
      <c r="N52" s="13"/>
      <c r="O52" s="13"/>
    </row>
    <row r="53" spans="1:15" x14ac:dyDescent="0.3">
      <c r="A53" s="195"/>
      <c r="B53" s="172"/>
      <c r="C53" s="351"/>
      <c r="D53" s="352"/>
      <c r="E53" s="173"/>
      <c r="F53" s="19"/>
      <c r="G53" s="60"/>
      <c r="K53" s="13"/>
      <c r="L53" s="6"/>
      <c r="M53" s="13"/>
      <c r="N53" s="13"/>
      <c r="O53" s="13"/>
    </row>
    <row r="54" spans="1:15" x14ac:dyDescent="0.3">
      <c r="A54" s="195"/>
      <c r="B54" s="172"/>
      <c r="C54" s="351"/>
      <c r="D54" s="352"/>
      <c r="E54" s="173"/>
      <c r="F54" s="19"/>
      <c r="G54" s="60"/>
      <c r="K54" s="13"/>
      <c r="L54" s="6"/>
      <c r="M54" s="13"/>
      <c r="N54" s="13"/>
      <c r="O54" s="13"/>
    </row>
    <row r="55" spans="1:15" ht="13.8" customHeight="1" thickBot="1" x14ac:dyDescent="0.35">
      <c r="A55" s="16"/>
      <c r="B55" s="89"/>
      <c r="C55" s="90"/>
      <c r="D55" s="90"/>
      <c r="E55" s="89"/>
      <c r="F55" s="89"/>
      <c r="G55" s="70"/>
      <c r="K55" s="13"/>
      <c r="L55" s="6"/>
      <c r="M55" s="13"/>
      <c r="N55" s="13"/>
      <c r="O55" s="13"/>
    </row>
    <row r="56" spans="1:15" ht="15.6" x14ac:dyDescent="0.3">
      <c r="A56" s="77" t="s">
        <v>109</v>
      </c>
      <c r="B56" s="78"/>
      <c r="C56" s="78"/>
      <c r="D56" s="79"/>
      <c r="E56" s="79"/>
      <c r="F56" s="79"/>
      <c r="G56" s="58"/>
      <c r="K56" s="13"/>
      <c r="L56" s="6"/>
      <c r="M56" s="13"/>
      <c r="N56" s="13"/>
      <c r="O56" s="13"/>
    </row>
    <row r="57" spans="1:15" ht="15.6" x14ac:dyDescent="0.3">
      <c r="A57" s="80" t="s">
        <v>33</v>
      </c>
      <c r="B57" s="47" t="s">
        <v>73</v>
      </c>
      <c r="C57" s="47" t="s">
        <v>74</v>
      </c>
      <c r="D57" s="48" t="s">
        <v>75</v>
      </c>
      <c r="E57" s="48" t="s">
        <v>120</v>
      </c>
      <c r="F57" s="48" t="s">
        <v>121</v>
      </c>
      <c r="G57" s="60"/>
      <c r="K57" s="13"/>
      <c r="L57" s="6"/>
      <c r="M57" s="13"/>
      <c r="N57" s="13"/>
      <c r="O57" s="13"/>
    </row>
    <row r="58" spans="1:15" ht="15.6" x14ac:dyDescent="0.3">
      <c r="A58" s="61" t="s">
        <v>118</v>
      </c>
      <c r="B58" s="266">
        <f>B69</f>
        <v>0</v>
      </c>
      <c r="C58" s="267">
        <f>B77</f>
        <v>0</v>
      </c>
      <c r="D58" s="266">
        <f>D45-D44+(C10-0.2*Lookup!$B$17)^2/(C10+0.8*Lookup!$B$17)*$F$28/12-IF(C10-0.2*Lookup!$B$15&lt;0,0,(C10-0.2*Lookup!$B$15)^2/(C10+0.8*Lookup!$B$15))*$B$28/12-IF(C10-0.2*Lookup!$C$15&lt;0,0,(C10-0.2*Lookup!$C$15)^2/(C10+0.8*Lookup!$C$15))*$C$28/12-IF(C10-0.2*Lookup!$D$15&lt;0,0,(C10-0.2*Lookup!$D$15)^2/(C10+0.8*Lookup!$D$15))*$D$28/12-IF(C10-0.2*Lookup!$E$15&lt;0,0,(C10-0.2*Lookup!$E$15)^2/(C10+0.8*Lookup!$E$15)*$E$28)/12</f>
        <v>0</v>
      </c>
      <c r="E58" s="266">
        <f>E45-E44+(D10-0.2*Lookup!$B$17)^2/(D10+0.8*Lookup!$B$17)*$F$28/12-IF(D10-0.2*Lookup!$B$15&lt;0,0,(D10-0.2*Lookup!$B$15)^2/(D10+0.8*Lookup!$B$15))*$B$28/12-IF(D10-0.2*Lookup!$C$15&lt;0,0,(D10-0.2*Lookup!$C$15)^2/(D10+0.8*Lookup!$C$15))*$C$28/12-IF(D10-0.2*Lookup!$D$15&lt;0,0,(D10-0.2*Lookup!$D$15)^2/(D10+0.8*Lookup!$D$15))*$D$28/12-IF(D10-0.2*Lookup!$E$15&lt;0,0,(D10-0.2*Lookup!$E$15)^2/(D10+0.8*Lookup!$E$15)*$E$28)/12</f>
        <v>0</v>
      </c>
      <c r="F58" s="266">
        <f>F45-F44+(E10-0.2*Lookup!$B$17)^2/(E10+0.8*Lookup!$B$17)*$F$28/12-IF(E10-0.2*Lookup!$B$15&lt;0,0,(E10-0.2*Lookup!$B$15)^2/(E10+0.8*Lookup!$B$15))*$B$28/12-IF(E10-0.2*Lookup!$C$15&lt;0,0,(E10-0.2*Lookup!$C$15)^2/(E10+0.8*Lookup!$C$15))*$C$28/12-IF(E10-0.2*Lookup!$D$15&lt;0,0,(E10-0.2*Lookup!$D$15)^2/(E10+0.8*Lookup!$D$15))*$D$28/12-IF(E10-0.2*Lookup!$E$15&lt;0,0,(E10-0.2*Lookup!$E$15)^2/(E10+0.8*Lookup!$E$15)*$E$28)/12</f>
        <v>0</v>
      </c>
      <c r="G58" s="60"/>
      <c r="K58" s="13"/>
      <c r="L58" s="13"/>
      <c r="M58" s="13"/>
      <c r="N58" s="13"/>
      <c r="O58" s="13"/>
    </row>
    <row r="59" spans="1:15" ht="15.6" x14ac:dyDescent="0.3">
      <c r="A59" s="61" t="s">
        <v>72</v>
      </c>
      <c r="B59" s="268">
        <f ca="1">SUM($B$50:$B$54,$E$50:$E$54)-(SUMIF(A50:A54,"Green Roofs",B50:B54)+SUMIF(C50:D54,"Green Roofs",E50:E54))</f>
        <v>0</v>
      </c>
      <c r="C59" s="268">
        <f ca="1">SUM($B$50:$B$54,$E$50:$E$54)-(SUMIF(A50:A54,"Green Roofs",B50:B54)+SUMIF(C50:D54,"Green Roofs",E50:E54))</f>
        <v>0</v>
      </c>
      <c r="D59" s="268">
        <f>SUM($B$50:$B$54,$E$50:$E$54)</f>
        <v>0</v>
      </c>
      <c r="E59" s="268">
        <f t="shared" ref="E59:F59" si="1">SUM($B$50:$B$54,$E$50:$E$54)</f>
        <v>0</v>
      </c>
      <c r="F59" s="268">
        <f t="shared" si="1"/>
        <v>0</v>
      </c>
      <c r="G59" s="60"/>
      <c r="K59" s="24"/>
      <c r="L59" s="13"/>
      <c r="M59" s="13"/>
      <c r="N59" s="13"/>
      <c r="O59" s="13"/>
    </row>
    <row r="60" spans="1:15" ht="15.6" x14ac:dyDescent="0.3">
      <c r="A60" s="81" t="s">
        <v>119</v>
      </c>
      <c r="B60" s="268">
        <f ca="1">IF((B58-B59)&gt;0,B58-B59,0)</f>
        <v>0</v>
      </c>
      <c r="C60" s="268">
        <f ca="1">IF((C58-C59)&gt;0,C58-C59,0)</f>
        <v>0</v>
      </c>
      <c r="D60" s="268">
        <f>IF((D58-D59)&gt;0,D58-D59,0)</f>
        <v>0</v>
      </c>
      <c r="E60" s="268">
        <f>IF((E58-E59)&gt;0,E58-E59,0)</f>
        <v>0</v>
      </c>
      <c r="F60" s="268">
        <f>IF((F58-F59)&gt;0,F58-F59,0)</f>
        <v>0</v>
      </c>
      <c r="G60" s="60"/>
      <c r="K60" s="13"/>
      <c r="L60" s="13"/>
      <c r="M60" s="13"/>
      <c r="N60" s="13"/>
      <c r="O60" s="13"/>
    </row>
    <row r="61" spans="1:15" x14ac:dyDescent="0.3">
      <c r="A61" s="59" t="s">
        <v>44</v>
      </c>
      <c r="B61" s="27" t="str">
        <f>IF(B58=0,"n/a",IF(ROUND(B60,4)=0,"Yes","No"))</f>
        <v>n/a</v>
      </c>
      <c r="C61" s="27" t="str">
        <f ca="1">IF(ROUND(C60,4)=0,"Yes", "No")</f>
        <v>Yes</v>
      </c>
      <c r="D61" s="27" t="str">
        <f>IF(ROUND(D60,4)=0,"Yes", "No")</f>
        <v>Yes</v>
      </c>
      <c r="E61" s="27" t="str">
        <f>IF(ROUND(E60,4)=0,"Yes", "No")</f>
        <v>Yes</v>
      </c>
      <c r="F61" s="27" t="str">
        <f>IF(ROUND(F60,4)=0,"Yes", "No")</f>
        <v>Yes</v>
      </c>
      <c r="G61" s="60"/>
      <c r="H61" s="43"/>
      <c r="K61" s="13"/>
      <c r="L61" s="13"/>
      <c r="M61" s="13"/>
      <c r="N61" s="13"/>
      <c r="O61" s="13"/>
    </row>
    <row r="62" spans="1:15" x14ac:dyDescent="0.3">
      <c r="A62" s="59"/>
      <c r="B62" s="25"/>
      <c r="C62" s="25"/>
      <c r="D62" s="25"/>
      <c r="E62" s="25"/>
      <c r="F62" s="25"/>
      <c r="G62" s="60"/>
      <c r="K62" s="13"/>
      <c r="L62" s="13"/>
      <c r="M62" s="13"/>
      <c r="N62" s="13"/>
      <c r="O62" s="13"/>
    </row>
    <row r="63" spans="1:15" ht="15.6" x14ac:dyDescent="0.3">
      <c r="A63" s="110" t="s">
        <v>43</v>
      </c>
      <c r="B63" s="29" t="s">
        <v>34</v>
      </c>
      <c r="C63" s="28" t="str">
        <f>IF(F32=0,"n/a",200/((2+B10+C58*(24/F32))-(5*B10*C58*(12/F32)+4*(C58*(12/F32))^2)^(1/2)))</f>
        <v>n/a</v>
      </c>
      <c r="D63" s="28" t="str">
        <f>IF(F32=0,"n/a",200/((2+C10+D45*(24/F32))-(5*C10*D45*(12/F32)+4*(D45*(12/F32))^2)^(1/2)))</f>
        <v>n/a</v>
      </c>
      <c r="E63" s="28" t="str">
        <f>IF(F32=0,"n/a",200/((2+D10+E45*(24/F32))-(5*D10*E45*(12/F32)+4*(E45*(12/F32))^2)^(1/2)))</f>
        <v>n/a</v>
      </c>
      <c r="F63" s="28" t="str">
        <f>IF(F32=0,"n/a",200/((2+E10+F45*(24/F32))-(5*E10*F45*(12/F32)+4*(F45*(12/F32))^2)^(1/2)))</f>
        <v>n/a</v>
      </c>
      <c r="G63" s="60"/>
      <c r="K63" s="24"/>
      <c r="L63" s="13"/>
      <c r="M63" s="13"/>
      <c r="N63" s="13"/>
      <c r="O63" s="13"/>
    </row>
    <row r="64" spans="1:15" ht="16.2" x14ac:dyDescent="0.35">
      <c r="A64" s="111" t="s">
        <v>42</v>
      </c>
      <c r="B64" s="30" t="s">
        <v>34</v>
      </c>
      <c r="C64" s="26" t="str">
        <f>IF(F32=0,"n/a",IF(B59&gt;C58,"n/a",200/(2+B10+((C58-$B$59)*24/F32)-SQRT(5*B10*(C58-$B$59)*12/F32+4*((C58-$B$59)*12/F32)^2))))</f>
        <v>n/a</v>
      </c>
      <c r="D64" s="26" t="str">
        <f>IF(F32=0,"n/a",IF(D59&gt;D45,0,200/(2+C10+((D45-$B$59)*24/F32)-SQRT(5*C10*(D45-$B$59)*12/F32+4*((D45-$B$59)*12/F32)^2))))</f>
        <v>n/a</v>
      </c>
      <c r="E64" s="26" t="str">
        <f>IF(F32=0,"n/a",IF(E59&gt;E45,0,200/(2+D10+((E45-$B$59)*24/F32)-SQRT(5*D10*(E45-$B$59)*12/F32+4*((E45-$B$59)*12/F32)^2))))</f>
        <v>n/a</v>
      </c>
      <c r="F64" s="26" t="str">
        <f>IF(F32=0,"n/a",IF(F59&gt;F45,0,200/(2+E10+((F45-$B$59)*24/F32)-SQRT(5*E10*(F45-$B$59)*12/F32+4*((F45-$B$59)*12/F32)^2))))</f>
        <v>n/a</v>
      </c>
      <c r="G64" s="60"/>
      <c r="K64" s="24"/>
      <c r="L64" s="6"/>
      <c r="M64" s="13"/>
      <c r="N64" s="13"/>
      <c r="O64" s="13"/>
    </row>
    <row r="65" spans="1:15" ht="15.6" x14ac:dyDescent="0.3">
      <c r="A65" s="112" t="s">
        <v>36</v>
      </c>
      <c r="B65" s="82" t="s">
        <v>34</v>
      </c>
      <c r="C65" s="83" t="s">
        <v>34</v>
      </c>
      <c r="D65" s="84" t="str">
        <f>IF(F20-F19=0,"n/a",200/(C10+2*D44*12/(F20-F19)+2-SQRT(5*C10*D44*12/(F20-F19)+4*(D44*12/(F20-F19))^2)))</f>
        <v>n/a</v>
      </c>
      <c r="E65" s="84" t="str">
        <f>IF((F20-F19)=0,"n/a",200/(D10+2*E44*12/(F20-F19)+2-SQRT(5*D10*E44*12/(F20-F19)+4*(E44*12/(F20-F19))^2)))</f>
        <v>n/a</v>
      </c>
      <c r="F65" s="84" t="str">
        <f>IF((F20-F19)=0,"n/a",200/(E10+2*F44*12/(F20-F19)+2-SQRT(5*E10*F44*12/(F20-F19)+4*(F44*12/(F20-F19))^2)))</f>
        <v>n/a</v>
      </c>
      <c r="G65" s="60"/>
      <c r="K65" s="24"/>
      <c r="L65" s="6"/>
      <c r="M65" s="13"/>
      <c r="N65" s="13"/>
      <c r="O65" s="13"/>
    </row>
    <row r="66" spans="1:15" ht="16.2" thickBot="1" x14ac:dyDescent="0.35">
      <c r="A66" s="16"/>
      <c r="B66" s="17"/>
      <c r="C66" s="17"/>
      <c r="D66" s="17"/>
      <c r="E66" s="17"/>
      <c r="F66" s="17"/>
      <c r="G66" s="70"/>
      <c r="K66" s="24"/>
      <c r="L66" s="13"/>
      <c r="M66" s="13"/>
      <c r="N66" s="13"/>
      <c r="O66" s="13"/>
    </row>
    <row r="67" spans="1:15" ht="15.6" x14ac:dyDescent="0.3">
      <c r="A67" s="56" t="s">
        <v>76</v>
      </c>
      <c r="B67" s="57"/>
      <c r="C67" s="57"/>
      <c r="D67" s="57"/>
      <c r="E67" s="57"/>
      <c r="F67" s="178">
        <v>1</v>
      </c>
      <c r="G67" s="58"/>
      <c r="K67" s="24"/>
      <c r="L67" s="6"/>
      <c r="M67" s="13"/>
      <c r="N67" s="13"/>
      <c r="O67" s="13"/>
    </row>
    <row r="68" spans="1:15" ht="30.6" customHeight="1" x14ac:dyDescent="0.3">
      <c r="A68" s="59" t="s">
        <v>77</v>
      </c>
      <c r="B68" s="174"/>
      <c r="C68" s="386" t="str">
        <f>IF(F67=1,"","Reason recharge not required (if No is selected):")</f>
        <v/>
      </c>
      <c r="D68" s="386"/>
      <c r="E68" s="387"/>
      <c r="F68" s="387"/>
      <c r="G68" s="60"/>
      <c r="K68" s="24"/>
      <c r="L68" s="6"/>
      <c r="M68" s="13"/>
      <c r="N68" s="13"/>
      <c r="O68" s="13"/>
    </row>
    <row r="69" spans="1:15" ht="15.6" x14ac:dyDescent="0.3">
      <c r="A69" s="59" t="s">
        <v>117</v>
      </c>
      <c r="B69" s="265">
        <f>((B27+B28)*Lookup!B21+(C27+C28)*Lookup!C21+(D27+D28)*Lookup!D21+(E27+E28)*Lookup!E21*(F27+F28))/12</f>
        <v>0</v>
      </c>
      <c r="C69" s="246"/>
      <c r="D69" s="246"/>
      <c r="E69" s="182"/>
      <c r="F69" s="182"/>
      <c r="G69" s="60"/>
      <c r="K69" s="24"/>
      <c r="L69" s="6"/>
      <c r="M69" s="13"/>
      <c r="N69" s="13"/>
      <c r="O69" s="13"/>
    </row>
    <row r="70" spans="1:15" ht="42.6" customHeight="1" x14ac:dyDescent="0.3">
      <c r="A70" s="252" t="s">
        <v>110</v>
      </c>
      <c r="B70" s="27" t="str">
        <f>B61</f>
        <v>n/a</v>
      </c>
      <c r="C70" s="388" t="str">
        <f>IF(B70="No",IF(F67=1,"NOTE: Treatment provided is insufficient to meet the recharge standard within this drainage area.  Add more infiltrating practices unless recharge is being met site-wide. (check summary tab)","Standard not applicable."),"")</f>
        <v/>
      </c>
      <c r="D70" s="389"/>
      <c r="E70" s="389"/>
      <c r="F70" s="389"/>
      <c r="G70" s="390"/>
      <c r="K70" s="24"/>
      <c r="L70" s="13"/>
      <c r="M70" s="13"/>
      <c r="N70" s="13"/>
      <c r="O70" s="13"/>
    </row>
    <row r="71" spans="1:15" ht="101.4" customHeight="1" thickBot="1" x14ac:dyDescent="0.35">
      <c r="A71" s="222" t="s">
        <v>167</v>
      </c>
      <c r="B71" s="412"/>
      <c r="C71" s="412"/>
      <c r="D71" s="412"/>
      <c r="E71" s="412"/>
      <c r="F71" s="412"/>
      <c r="G71" s="413"/>
      <c r="K71" s="24"/>
      <c r="L71" s="6"/>
      <c r="M71" s="13"/>
      <c r="N71" s="13"/>
      <c r="O71" s="13"/>
    </row>
    <row r="72" spans="1:15" ht="75" customHeight="1" thickBot="1" x14ac:dyDescent="0.35">
      <c r="A72" s="269"/>
      <c r="B72" s="270"/>
      <c r="C72" s="270"/>
      <c r="D72" s="270"/>
      <c r="E72" s="270"/>
      <c r="F72" s="270"/>
      <c r="G72" s="270"/>
      <c r="K72" s="24"/>
      <c r="L72" s="6"/>
      <c r="M72" s="13"/>
      <c r="N72" s="13"/>
      <c r="O72" s="13"/>
    </row>
    <row r="73" spans="1:15" ht="15.6" x14ac:dyDescent="0.3">
      <c r="A73" s="56" t="s">
        <v>95</v>
      </c>
      <c r="B73" s="57"/>
      <c r="C73" s="57"/>
      <c r="D73" s="57"/>
      <c r="E73" s="178">
        <v>1</v>
      </c>
      <c r="F73" s="178">
        <v>1</v>
      </c>
      <c r="G73" s="58"/>
      <c r="K73" s="24"/>
      <c r="L73" s="6"/>
      <c r="M73" s="13"/>
      <c r="N73" s="13"/>
      <c r="O73" s="13"/>
    </row>
    <row r="74" spans="1:15" ht="15" customHeight="1" x14ac:dyDescent="0.3">
      <c r="A74" s="91"/>
      <c r="B74" s="7" t="s">
        <v>233</v>
      </c>
      <c r="C74" s="13"/>
      <c r="D74" s="13"/>
      <c r="E74" s="13"/>
      <c r="F74" s="7" t="s">
        <v>236</v>
      </c>
      <c r="G74" s="60"/>
      <c r="K74" s="24"/>
      <c r="L74" s="6"/>
      <c r="M74" s="13"/>
      <c r="N74" s="13"/>
      <c r="O74" s="13"/>
    </row>
    <row r="75" spans="1:15" ht="16.2" x14ac:dyDescent="0.35">
      <c r="A75" s="67" t="s">
        <v>221</v>
      </c>
      <c r="B75" s="265">
        <f>IF(F27+F28=0,0,(0.05+0.9*(G27+G28))*1*F32/12)</f>
        <v>0</v>
      </c>
      <c r="C75" s="373" t="s">
        <v>235</v>
      </c>
      <c r="D75" s="374"/>
      <c r="E75" s="75">
        <f>G35</f>
        <v>0</v>
      </c>
      <c r="G75" s="60"/>
      <c r="K75" s="24"/>
      <c r="L75" s="6"/>
      <c r="M75" s="13"/>
      <c r="N75" s="13"/>
      <c r="O75" s="13"/>
    </row>
    <row r="76" spans="1:15" ht="30" customHeight="1" x14ac:dyDescent="0.3">
      <c r="A76" s="61" t="s">
        <v>222</v>
      </c>
      <c r="B76" s="265">
        <f>IF(F30=0,0,IF(F73=2,IF(E76&gt;25%,0,(0.05+0.9*G30)*1*F32/12*(50%-2*E76)),(0.05+0.9*G30)*1*F32/12*0.5))</f>
        <v>0</v>
      </c>
      <c r="C76" s="375" t="s">
        <v>234</v>
      </c>
      <c r="D76" s="376"/>
      <c r="E76" s="225">
        <f>G36</f>
        <v>0</v>
      </c>
      <c r="G76" s="226" t="str">
        <f>IF(E76="n/a","",IF(E76&gt;25%,"Max 25% applied",""))</f>
        <v/>
      </c>
      <c r="K76" s="24"/>
      <c r="L76" s="13"/>
      <c r="M76" s="13"/>
      <c r="N76" s="13"/>
      <c r="O76" s="13"/>
    </row>
    <row r="77" spans="1:15" ht="15" customHeight="1" x14ac:dyDescent="0.3">
      <c r="A77" s="59" t="s">
        <v>111</v>
      </c>
      <c r="B77" s="265">
        <f>IF(E73=2,IF(E75&lt;5%,B75+B76,(B75+B76)*(100%-E75)),B75+B76)</f>
        <v>0</v>
      </c>
      <c r="C77" s="377" t="str">
        <f>IF(E73+F73=4,"ERROR! Net Reduction and Redevelopment cannot both apply","")</f>
        <v/>
      </c>
      <c r="D77" s="378"/>
      <c r="E77" s="378"/>
      <c r="F77" s="378"/>
      <c r="G77" s="379"/>
      <c r="K77" s="24"/>
      <c r="L77" s="13"/>
      <c r="M77" s="13"/>
      <c r="N77" s="13"/>
      <c r="O77" s="13"/>
    </row>
    <row r="78" spans="1:15" ht="30" x14ac:dyDescent="0.3">
      <c r="A78" s="252" t="s">
        <v>204</v>
      </c>
      <c r="B78" s="306">
        <f ca="1">IF(C59&gt;C58,C58,C59)</f>
        <v>0</v>
      </c>
      <c r="C78" s="63"/>
      <c r="D78" s="371" t="s">
        <v>209</v>
      </c>
      <c r="E78" s="371"/>
      <c r="F78" s="185"/>
      <c r="G78" s="186">
        <v>1</v>
      </c>
      <c r="K78" s="24"/>
      <c r="L78" s="13"/>
      <c r="M78" s="13"/>
      <c r="N78" s="13"/>
      <c r="O78" s="13"/>
    </row>
    <row r="79" spans="1:15" ht="30.6" customHeight="1" x14ac:dyDescent="0.3">
      <c r="A79" s="224" t="s">
        <v>149</v>
      </c>
      <c r="B79" s="306">
        <f ca="1">IF(G78=2,"N/A",IF(B77-B78&lt;0,0,B77-B78))</f>
        <v>0</v>
      </c>
      <c r="C79" s="63"/>
      <c r="D79" s="223"/>
      <c r="E79" s="223"/>
      <c r="F79" s="13"/>
      <c r="G79" s="64"/>
      <c r="K79" s="24"/>
      <c r="L79" s="13"/>
      <c r="M79" s="13"/>
      <c r="N79" s="13"/>
      <c r="O79" s="13"/>
    </row>
    <row r="80" spans="1:15" ht="10.8" customHeight="1" x14ac:dyDescent="0.3">
      <c r="A80" s="252"/>
      <c r="B80" s="13"/>
      <c r="C80" s="63"/>
      <c r="D80" s="13"/>
      <c r="E80" s="13"/>
      <c r="F80" s="13"/>
      <c r="G80" s="60"/>
      <c r="K80" s="13"/>
      <c r="L80" s="6"/>
      <c r="M80" s="13"/>
      <c r="N80" s="13"/>
      <c r="O80" s="13"/>
    </row>
    <row r="81" spans="1:15" ht="28.8" customHeight="1" x14ac:dyDescent="0.3">
      <c r="A81" s="401" t="str">
        <f>IF(B82="","","NOTE: Please include a copy of the appropriate STP worksheet(s) with the application.")</f>
        <v/>
      </c>
      <c r="B81" s="391" t="s">
        <v>160</v>
      </c>
      <c r="C81" s="392"/>
      <c r="D81" s="393"/>
      <c r="E81" s="245" t="s">
        <v>147</v>
      </c>
      <c r="F81" s="251" t="s">
        <v>138</v>
      </c>
      <c r="G81" s="60"/>
      <c r="K81" s="13"/>
      <c r="L81" s="6"/>
      <c r="M81" s="13"/>
      <c r="N81" s="13"/>
      <c r="O81" s="13"/>
    </row>
    <row r="82" spans="1:15" x14ac:dyDescent="0.3">
      <c r="A82" s="401"/>
      <c r="B82" s="372"/>
      <c r="C82" s="372"/>
      <c r="D82" s="372"/>
      <c r="E82" s="305"/>
      <c r="F82" s="108" t="str">
        <f>IF(B82="","",VLOOKUP(B82,Lookup!$H$13:$I$19,2,FALSE))</f>
        <v/>
      </c>
      <c r="G82" s="60"/>
    </row>
    <row r="83" spans="1:15" x14ac:dyDescent="0.3">
      <c r="A83" s="401"/>
      <c r="B83" s="372"/>
      <c r="C83" s="372"/>
      <c r="D83" s="372"/>
      <c r="E83" s="305"/>
      <c r="F83" s="108" t="str">
        <f>IF(B83="","",VLOOKUP(B83,Lookup!$H$13:$I$19,2,FALSE))</f>
        <v/>
      </c>
      <c r="G83" s="60"/>
    </row>
    <row r="84" spans="1:15" x14ac:dyDescent="0.3">
      <c r="A84" s="401"/>
      <c r="B84" s="372"/>
      <c r="C84" s="372"/>
      <c r="D84" s="372"/>
      <c r="E84" s="305"/>
      <c r="F84" s="108" t="str">
        <f>IF(B84="","",VLOOKUP(B84,Lookup!$H$13:$I$19,2,FALSE))</f>
        <v/>
      </c>
      <c r="G84" s="60"/>
    </row>
    <row r="85" spans="1:15" ht="15.6" x14ac:dyDescent="0.35">
      <c r="A85" s="118"/>
      <c r="B85" s="19"/>
      <c r="C85" s="19"/>
      <c r="D85" s="1" t="s">
        <v>153</v>
      </c>
      <c r="E85" s="307">
        <f>SUM(E82:E84)</f>
        <v>0</v>
      </c>
      <c r="F85" s="13" t="s">
        <v>90</v>
      </c>
      <c r="G85" s="60"/>
    </row>
    <row r="86" spans="1:15" ht="15.6" x14ac:dyDescent="0.35">
      <c r="A86" s="68"/>
      <c r="B86" s="19"/>
      <c r="C86" s="19"/>
      <c r="D86" s="1" t="s">
        <v>203</v>
      </c>
      <c r="E86" s="134" t="str">
        <f ca="1">IF(G78=2,"Yes",IF(ROUND(E85,4)&gt;=ROUND(B79,4),"Yes","No"))</f>
        <v>Yes</v>
      </c>
      <c r="F86" s="13"/>
      <c r="G86" s="60"/>
    </row>
    <row r="87" spans="1:15" ht="14.4" customHeight="1" x14ac:dyDescent="0.3">
      <c r="A87" s="368" t="str">
        <f ca="1">IF(E86="No","NOTE:  Add more water quality practices unless site balancing is being used. (Check summary tab)","")</f>
        <v/>
      </c>
      <c r="B87" s="369"/>
      <c r="C87" s="369"/>
      <c r="D87" s="369"/>
      <c r="E87" s="369"/>
      <c r="F87" s="369"/>
      <c r="G87" s="370"/>
    </row>
    <row r="88" spans="1:15" ht="51.6" customHeight="1" thickBot="1" x14ac:dyDescent="0.35">
      <c r="A88" s="239" t="s">
        <v>168</v>
      </c>
      <c r="B88" s="414"/>
      <c r="C88" s="414"/>
      <c r="D88" s="414"/>
      <c r="E88" s="414"/>
      <c r="F88" s="414"/>
      <c r="G88" s="414"/>
    </row>
    <row r="89" spans="1:15" ht="15.6" x14ac:dyDescent="0.3">
      <c r="A89" s="56" t="s">
        <v>96</v>
      </c>
      <c r="B89" s="57"/>
      <c r="C89" s="57"/>
      <c r="D89" s="57"/>
      <c r="E89" s="178">
        <v>1</v>
      </c>
      <c r="F89" s="178">
        <v>1</v>
      </c>
      <c r="G89" s="58"/>
    </row>
    <row r="90" spans="1:15" ht="29.4" customHeight="1" x14ac:dyDescent="0.3">
      <c r="A90" s="59" t="s">
        <v>77</v>
      </c>
      <c r="B90" s="125"/>
      <c r="C90" s="364" t="str">
        <f>IF(F89=2,"Waiver (if No is selected):","")</f>
        <v/>
      </c>
      <c r="D90" s="364"/>
      <c r="E90" s="380"/>
      <c r="F90" s="380"/>
      <c r="G90" s="60"/>
      <c r="M90" s="41"/>
    </row>
    <row r="91" spans="1:15" s="49" customFormat="1" ht="37.200000000000003" customHeight="1" x14ac:dyDescent="0.3">
      <c r="A91" s="59" t="s">
        <v>80</v>
      </c>
      <c r="B91" s="27" t="str">
        <f>D61</f>
        <v>Yes</v>
      </c>
      <c r="C91" s="348"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been fully met with hydrologic condition method. Additional treatment of the 1 year storm is not required.</v>
      </c>
      <c r="D91" s="349"/>
      <c r="E91" s="349"/>
      <c r="F91" s="349"/>
      <c r="G91" s="350"/>
    </row>
    <row r="92" spans="1:15" s="49" customFormat="1" ht="31.2" customHeight="1" x14ac:dyDescent="0.3">
      <c r="A92" s="61" t="s">
        <v>81</v>
      </c>
      <c r="B92" s="62" t="str">
        <f>IF(D60&gt;0,D45-D59,"n/a")</f>
        <v>n/a</v>
      </c>
      <c r="C92" s="54" t="s">
        <v>90</v>
      </c>
      <c r="D92" s="31"/>
      <c r="E92" s="13"/>
      <c r="F92" s="63"/>
      <c r="G92" s="64"/>
    </row>
    <row r="93" spans="1:15" ht="34.799999999999997" customHeight="1" x14ac:dyDescent="0.3">
      <c r="A93" s="61" t="s">
        <v>92</v>
      </c>
      <c r="B93" s="125"/>
      <c r="C93" s="65" t="s">
        <v>94</v>
      </c>
      <c r="D93" s="247" t="s">
        <v>93</v>
      </c>
      <c r="E93" s="363" t="str">
        <f>IF(E89=1,"12 hours of extended detention","24 hours of extended detention")</f>
        <v>12 hours of extended detention</v>
      </c>
      <c r="F93" s="363"/>
      <c r="G93" s="60"/>
    </row>
    <row r="94" spans="1:15" ht="15" customHeight="1" x14ac:dyDescent="0.3">
      <c r="A94" s="381" t="str">
        <f>HYPERLINK("http://dec.vermont.gov/sites/dec/files/documents/wsmd_water_quality_standards_2016.pdf", "See the Vermont Water Quality Standards for warm and cold water designations")</f>
        <v>See the Vermont Water Quality Standards for warm and cold water designations</v>
      </c>
      <c r="B94" s="382"/>
      <c r="C94" s="382"/>
      <c r="D94" s="13"/>
      <c r="E94" s="358" t="s">
        <v>150</v>
      </c>
      <c r="F94" s="358"/>
      <c r="G94" s="179" t="b">
        <v>0</v>
      </c>
    </row>
    <row r="95" spans="1:15" ht="14.4" customHeight="1" x14ac:dyDescent="0.3">
      <c r="A95" s="381"/>
      <c r="B95" s="382"/>
      <c r="C95" s="382"/>
      <c r="D95" s="13"/>
      <c r="E95" s="359" t="s">
        <v>182</v>
      </c>
      <c r="F95" s="359"/>
      <c r="G95" s="360"/>
    </row>
    <row r="96" spans="1:15" x14ac:dyDescent="0.3">
      <c r="A96" s="249"/>
      <c r="B96" s="250"/>
      <c r="C96" s="13"/>
      <c r="D96" s="13"/>
      <c r="E96" s="359"/>
      <c r="F96" s="359"/>
      <c r="G96" s="360"/>
    </row>
    <row r="97" spans="1:7" x14ac:dyDescent="0.3">
      <c r="A97" s="66" t="s">
        <v>151</v>
      </c>
      <c r="B97" s="418"/>
      <c r="C97" s="419"/>
      <c r="D97" s="13"/>
      <c r="E97" s="183"/>
      <c r="F97" s="361" t="str">
        <f>IF(G94=TRUE,"detention time (hrs)","")</f>
        <v/>
      </c>
      <c r="G97" s="362"/>
    </row>
    <row r="98" spans="1:7" ht="11.4" customHeight="1" x14ac:dyDescent="0.3">
      <c r="A98" s="66"/>
      <c r="B98" s="55"/>
      <c r="C98" s="55"/>
      <c r="D98" s="13"/>
      <c r="E98" s="13"/>
      <c r="F98" s="13"/>
      <c r="G98" s="60"/>
    </row>
    <row r="99" spans="1:7" ht="45.6" customHeight="1" x14ac:dyDescent="0.3">
      <c r="A99" s="343" t="s">
        <v>210</v>
      </c>
      <c r="B99" s="344"/>
      <c r="C99" s="344"/>
      <c r="D99" s="344"/>
      <c r="E99" s="344"/>
      <c r="F99" s="344"/>
      <c r="G99" s="345"/>
    </row>
    <row r="100" spans="1:7" s="49" customFormat="1" ht="31.2" customHeight="1" x14ac:dyDescent="0.3">
      <c r="A100" s="59" t="s">
        <v>91</v>
      </c>
      <c r="B100" s="128" t="str">
        <f>D64</f>
        <v>n/a</v>
      </c>
      <c r="C100" s="383" t="s">
        <v>223</v>
      </c>
      <c r="D100" s="384"/>
      <c r="E100" s="129">
        <f>IF(E41=0,0,(F41^0.8)*(((1000/IF(B100&gt;95,95,IF(B100&lt;50,50,B100)))-9)^0.7)/(1140*E41^0.5)*60)</f>
        <v>0</v>
      </c>
      <c r="F100" s="73" t="s">
        <v>102</v>
      </c>
      <c r="G100" s="64"/>
    </row>
    <row r="101" spans="1:7" ht="49.2" customHeight="1" thickBot="1" x14ac:dyDescent="0.35">
      <c r="A101" s="222" t="s">
        <v>169</v>
      </c>
      <c r="B101" s="365"/>
      <c r="C101" s="366"/>
      <c r="D101" s="366"/>
      <c r="E101" s="366"/>
      <c r="F101" s="366"/>
      <c r="G101" s="367"/>
    </row>
    <row r="102" spans="1:7" ht="18" x14ac:dyDescent="0.4">
      <c r="A102" s="56" t="s">
        <v>97</v>
      </c>
      <c r="B102" s="57"/>
      <c r="C102" s="57"/>
      <c r="D102" s="57"/>
      <c r="E102" s="57"/>
      <c r="F102" s="178">
        <v>1</v>
      </c>
      <c r="G102" s="58"/>
    </row>
    <row r="103" spans="1:7" ht="29.4" customHeight="1" x14ac:dyDescent="0.3">
      <c r="A103" s="59" t="s">
        <v>77</v>
      </c>
      <c r="B103" s="127"/>
      <c r="C103" s="364" t="str">
        <f>IF(F102=1,"","Waiver (if No is selected):")</f>
        <v/>
      </c>
      <c r="D103" s="364"/>
      <c r="E103" s="380"/>
      <c r="F103" s="380"/>
      <c r="G103" s="60"/>
    </row>
    <row r="104" spans="1:7" ht="43.2" customHeight="1" x14ac:dyDescent="0.3">
      <c r="A104" s="59" t="s">
        <v>80</v>
      </c>
      <c r="B104" s="27" t="str">
        <f>E61</f>
        <v>Yes</v>
      </c>
      <c r="C104" s="348"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been fully met.  No additional STPs are required.</v>
      </c>
      <c r="D104" s="349"/>
      <c r="E104" s="349"/>
      <c r="F104" s="349"/>
      <c r="G104" s="350"/>
    </row>
    <row r="105" spans="1:7" x14ac:dyDescent="0.3">
      <c r="A105" s="68" t="s">
        <v>104</v>
      </c>
      <c r="B105" s="357"/>
      <c r="C105" s="357"/>
      <c r="D105" s="357"/>
      <c r="E105" s="357"/>
      <c r="F105" s="357"/>
      <c r="G105" s="60"/>
    </row>
    <row r="106" spans="1:7" x14ac:dyDescent="0.3">
      <c r="A106" s="14"/>
      <c r="B106" s="13"/>
      <c r="C106" s="20" t="s">
        <v>105</v>
      </c>
      <c r="D106" s="176"/>
      <c r="E106" s="13"/>
      <c r="F106" s="13"/>
      <c r="G106" s="60"/>
    </row>
    <row r="107" spans="1:7" x14ac:dyDescent="0.3">
      <c r="A107" s="14"/>
      <c r="B107" s="13"/>
      <c r="C107" s="20" t="s">
        <v>107</v>
      </c>
      <c r="D107" s="176"/>
      <c r="E107" s="13"/>
      <c r="F107" s="13"/>
      <c r="G107" s="60"/>
    </row>
    <row r="108" spans="1:7" x14ac:dyDescent="0.3">
      <c r="A108" s="14"/>
      <c r="B108" s="13"/>
      <c r="C108" s="20" t="s">
        <v>106</v>
      </c>
      <c r="D108" s="176"/>
      <c r="E108" s="13"/>
      <c r="F108" s="13"/>
      <c r="G108" s="60"/>
    </row>
    <row r="109" spans="1:7" x14ac:dyDescent="0.3">
      <c r="A109" s="14"/>
      <c r="B109" s="13"/>
      <c r="C109" s="20"/>
      <c r="D109" s="19"/>
      <c r="E109" s="13"/>
      <c r="F109" s="13"/>
      <c r="G109" s="60"/>
    </row>
    <row r="110" spans="1:7" ht="46.8" customHeight="1" x14ac:dyDescent="0.3">
      <c r="A110" s="343" t="s">
        <v>211</v>
      </c>
      <c r="B110" s="344"/>
      <c r="C110" s="344"/>
      <c r="D110" s="344"/>
      <c r="E110" s="344"/>
      <c r="F110" s="344"/>
      <c r="G110" s="345"/>
    </row>
    <row r="111" spans="1:7" ht="28.8" customHeight="1" x14ac:dyDescent="0.3">
      <c r="A111" s="194" t="s">
        <v>224</v>
      </c>
      <c r="B111" s="71" t="str">
        <f>E65</f>
        <v>n/a</v>
      </c>
      <c r="C111" s="420" t="s">
        <v>225</v>
      </c>
      <c r="D111" s="421"/>
      <c r="E111" s="72">
        <f>IF(E40=0,0,(F40^0.8)*(((1000/IF(B111&gt;95,95,IF(B111&lt;50,50,B111)))-9)^0.7)/(1140*E40^0.5)*60)</f>
        <v>0</v>
      </c>
      <c r="F111" s="346" t="s">
        <v>102</v>
      </c>
      <c r="G111" s="248"/>
    </row>
    <row r="112" spans="1:7" ht="28.8" customHeight="1" x14ac:dyDescent="0.3">
      <c r="A112" s="59" t="s">
        <v>91</v>
      </c>
      <c r="B112" s="71" t="str">
        <f>E64</f>
        <v>n/a</v>
      </c>
      <c r="C112" s="383" t="s">
        <v>223</v>
      </c>
      <c r="D112" s="384"/>
      <c r="E112" s="72">
        <f>IF(E41=0,0,(F41^0.8)*(((1000/IF(B112&gt;95,95,IF(B112&lt;50,50,B112)))-9)^0.7)/(1140*E41^0.5)*60)</f>
        <v>0</v>
      </c>
      <c r="F112" s="347"/>
      <c r="G112" s="64"/>
    </row>
    <row r="113" spans="1:7" ht="57.6" customHeight="1" thickBot="1" x14ac:dyDescent="0.35">
      <c r="A113" s="124" t="s">
        <v>170</v>
      </c>
      <c r="B113" s="365"/>
      <c r="C113" s="366"/>
      <c r="D113" s="366"/>
      <c r="E113" s="366"/>
      <c r="F113" s="366"/>
      <c r="G113" s="367"/>
    </row>
    <row r="114" spans="1:7" ht="18" x14ac:dyDescent="0.4">
      <c r="A114" s="56" t="s">
        <v>108</v>
      </c>
      <c r="B114" s="57"/>
      <c r="C114" s="57"/>
      <c r="D114" s="57"/>
      <c r="E114" s="57"/>
      <c r="F114" s="178">
        <v>1</v>
      </c>
      <c r="G114" s="58"/>
    </row>
    <row r="115" spans="1:7" ht="28.8" customHeight="1" x14ac:dyDescent="0.3">
      <c r="A115" s="59" t="s">
        <v>77</v>
      </c>
      <c r="B115" s="126"/>
      <c r="C115" s="364" t="str">
        <f>IF(F114=1,"","Waiver (if No is selected):")</f>
        <v/>
      </c>
      <c r="D115" s="364"/>
      <c r="E115" s="380"/>
      <c r="F115" s="380"/>
      <c r="G115" s="60"/>
    </row>
    <row r="116" spans="1:7" ht="43.2" customHeight="1" x14ac:dyDescent="0.3">
      <c r="A116" s="59" t="s">
        <v>80</v>
      </c>
      <c r="B116" s="27" t="str">
        <f>F61</f>
        <v>Yes</v>
      </c>
      <c r="C116" s="348"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flood standard has been fully met.  No additional STPs are required.</v>
      </c>
      <c r="D116" s="349"/>
      <c r="E116" s="349"/>
      <c r="F116" s="349"/>
      <c r="G116" s="350"/>
    </row>
    <row r="117" spans="1:7" x14ac:dyDescent="0.3">
      <c r="A117" s="68" t="s">
        <v>104</v>
      </c>
      <c r="B117" s="424"/>
      <c r="C117" s="424"/>
      <c r="D117" s="424"/>
      <c r="E117" s="424"/>
      <c r="F117" s="424"/>
      <c r="G117" s="60"/>
    </row>
    <row r="118" spans="1:7" x14ac:dyDescent="0.3">
      <c r="A118" s="14"/>
      <c r="B118" s="13"/>
      <c r="C118" s="20" t="s">
        <v>105</v>
      </c>
      <c r="D118" s="177"/>
      <c r="E118" s="13"/>
      <c r="F118" s="13"/>
      <c r="G118" s="60"/>
    </row>
    <row r="119" spans="1:7" x14ac:dyDescent="0.3">
      <c r="A119" s="14"/>
      <c r="B119" s="13"/>
      <c r="C119" s="20" t="s">
        <v>107</v>
      </c>
      <c r="D119" s="177"/>
      <c r="E119" s="13"/>
      <c r="F119" s="13"/>
      <c r="G119" s="60"/>
    </row>
    <row r="120" spans="1:7" x14ac:dyDescent="0.3">
      <c r="A120" s="14"/>
      <c r="B120" s="13"/>
      <c r="C120" s="20" t="s">
        <v>106</v>
      </c>
      <c r="D120" s="177"/>
      <c r="E120" s="13"/>
      <c r="F120" s="13"/>
      <c r="G120" s="60"/>
    </row>
    <row r="121" spans="1:7" x14ac:dyDescent="0.3">
      <c r="A121" s="14"/>
      <c r="B121" s="13"/>
      <c r="C121" s="13"/>
      <c r="D121" s="13"/>
      <c r="E121" s="13"/>
      <c r="F121" s="13"/>
      <c r="G121" s="60"/>
    </row>
    <row r="122" spans="1:7" ht="45.6" customHeight="1" x14ac:dyDescent="0.3">
      <c r="A122" s="343" t="s">
        <v>215</v>
      </c>
      <c r="B122" s="344"/>
      <c r="C122" s="344"/>
      <c r="D122" s="344"/>
      <c r="E122" s="344"/>
      <c r="F122" s="344"/>
      <c r="G122" s="345"/>
    </row>
    <row r="123" spans="1:7" ht="32.4" customHeight="1" x14ac:dyDescent="0.3">
      <c r="A123" s="194" t="s">
        <v>224</v>
      </c>
      <c r="B123" s="71" t="str">
        <f>F65</f>
        <v>n/a</v>
      </c>
      <c r="C123" s="420" t="s">
        <v>225</v>
      </c>
      <c r="D123" s="421"/>
      <c r="E123" s="72">
        <f>IF(E40=0,0,(F40^0.8)*(((1000/IF(B123&gt;95,95,IF(B123&lt;50,50,B123)))-9)^0.7)/(1140*E40^0.5)*60)</f>
        <v>0</v>
      </c>
      <c r="F123" s="422" t="s">
        <v>102</v>
      </c>
      <c r="G123" s="248"/>
    </row>
    <row r="124" spans="1:7" ht="28.8" customHeight="1" x14ac:dyDescent="0.3">
      <c r="A124" s="59" t="s">
        <v>91</v>
      </c>
      <c r="B124" s="71" t="str">
        <f>F64</f>
        <v>n/a</v>
      </c>
      <c r="C124" s="383" t="s">
        <v>223</v>
      </c>
      <c r="D124" s="384"/>
      <c r="E124" s="72">
        <f>IF(E41=0,0,(F41^0.8)*(((1000/IF(B124&gt;95,95,IF(B124&lt;50,50,B124)))-9)^0.7)/(1140*E41^0.5)*60)</f>
        <v>0</v>
      </c>
      <c r="F124" s="423"/>
      <c r="G124" s="64"/>
    </row>
    <row r="125" spans="1:7" ht="57.6" customHeight="1" thickBot="1" x14ac:dyDescent="0.35">
      <c r="A125" s="124" t="s">
        <v>171</v>
      </c>
      <c r="B125" s="365"/>
      <c r="C125" s="366"/>
      <c r="D125" s="366"/>
      <c r="E125" s="366"/>
      <c r="F125" s="366"/>
      <c r="G125" s="367"/>
    </row>
  </sheetData>
  <sheetProtection algorithmName="SHA-512" hashValue="8P24TXDWPemMX282kv+Sqzfx8ihnEutnWaMmLYlgSNGS13To7p3sZrDUGjnyTPDD9gBR75UUkXCUC30t4frlQw==" saltValue="ZRNLQnh/64LxmMNuTk7MLA==" spinCount="100000" sheet="1" objects="1" scenarios="1"/>
  <dataConsolidate/>
  <mergeCells count="67">
    <mergeCell ref="C123:D123"/>
    <mergeCell ref="F123:F124"/>
    <mergeCell ref="C124:D124"/>
    <mergeCell ref="B125:G125"/>
    <mergeCell ref="B113:G113"/>
    <mergeCell ref="C115:D115"/>
    <mergeCell ref="E115:F115"/>
    <mergeCell ref="C116:G116"/>
    <mergeCell ref="B117:F117"/>
    <mergeCell ref="A122:G122"/>
    <mergeCell ref="C104:G104"/>
    <mergeCell ref="B105:F105"/>
    <mergeCell ref="A110:G110"/>
    <mergeCell ref="C111:D111"/>
    <mergeCell ref="F111:F112"/>
    <mergeCell ref="C112:D112"/>
    <mergeCell ref="C103:D103"/>
    <mergeCell ref="E103:F103"/>
    <mergeCell ref="B88:G88"/>
    <mergeCell ref="C90:D90"/>
    <mergeCell ref="E90:F90"/>
    <mergeCell ref="C91:G91"/>
    <mergeCell ref="E93:F93"/>
    <mergeCell ref="A94:C95"/>
    <mergeCell ref="E94:F94"/>
    <mergeCell ref="E95:G96"/>
    <mergeCell ref="B97:C97"/>
    <mergeCell ref="F97:G97"/>
    <mergeCell ref="A99:G99"/>
    <mergeCell ref="C100:D100"/>
    <mergeCell ref="B101:G101"/>
    <mergeCell ref="A87:G87"/>
    <mergeCell ref="C70:G70"/>
    <mergeCell ref="B71:G71"/>
    <mergeCell ref="C75:D75"/>
    <mergeCell ref="C76:D76"/>
    <mergeCell ref="C77:G77"/>
    <mergeCell ref="D78:E78"/>
    <mergeCell ref="A81:A84"/>
    <mergeCell ref="B81:D81"/>
    <mergeCell ref="B82:D82"/>
    <mergeCell ref="B83:D83"/>
    <mergeCell ref="B84:D84"/>
    <mergeCell ref="E68:F68"/>
    <mergeCell ref="A39:B41"/>
    <mergeCell ref="A44:C44"/>
    <mergeCell ref="A45:C45"/>
    <mergeCell ref="A48:G48"/>
    <mergeCell ref="C49:D49"/>
    <mergeCell ref="C50:D50"/>
    <mergeCell ref="C51:D51"/>
    <mergeCell ref="C52:D52"/>
    <mergeCell ref="C53:D53"/>
    <mergeCell ref="C54:D54"/>
    <mergeCell ref="C68:D68"/>
    <mergeCell ref="A38:G38"/>
    <mergeCell ref="D2:F2"/>
    <mergeCell ref="D3:F3"/>
    <mergeCell ref="D4:F4"/>
    <mergeCell ref="D5:F5"/>
    <mergeCell ref="D6:F6"/>
    <mergeCell ref="B8:D8"/>
    <mergeCell ref="A13:F13"/>
    <mergeCell ref="G14:G15"/>
    <mergeCell ref="A21:G21"/>
    <mergeCell ref="A22:F22"/>
    <mergeCell ref="B31:E31"/>
  </mergeCells>
  <conditionalFormatting sqref="E68:F68">
    <cfRule type="expression" dxfId="221" priority="36">
      <formula>$F$67=2</formula>
    </cfRule>
  </conditionalFormatting>
  <conditionalFormatting sqref="E90:F90">
    <cfRule type="expression" dxfId="220" priority="35">
      <formula>$F$89=2</formula>
    </cfRule>
  </conditionalFormatting>
  <conditionalFormatting sqref="E103:F103">
    <cfRule type="expression" dxfId="219" priority="34">
      <formula>$F$102=2</formula>
    </cfRule>
  </conditionalFormatting>
  <conditionalFormatting sqref="E115:F115">
    <cfRule type="expression" dxfId="218" priority="33">
      <formula>$F$114=2</formula>
    </cfRule>
  </conditionalFormatting>
  <conditionalFormatting sqref="B105:F105 D108">
    <cfRule type="expression" dxfId="217" priority="32">
      <formula>$F$102=1</formula>
    </cfRule>
  </conditionalFormatting>
  <conditionalFormatting sqref="D106">
    <cfRule type="expression" dxfId="216" priority="31">
      <formula>$F$102=1</formula>
    </cfRule>
  </conditionalFormatting>
  <conditionalFormatting sqref="B117:F117 D120">
    <cfRule type="expression" dxfId="215" priority="30">
      <formula>$F$114=1</formula>
    </cfRule>
  </conditionalFormatting>
  <conditionalFormatting sqref="B82:D82 B83:B84 E82:E84">
    <cfRule type="expression" dxfId="214" priority="37">
      <formula>$F$79&gt;0</formula>
    </cfRule>
  </conditionalFormatting>
  <conditionalFormatting sqref="E97">
    <cfRule type="expression" dxfId="213" priority="29">
      <formula>$G$94=TRUE</formula>
    </cfRule>
  </conditionalFormatting>
  <conditionalFormatting sqref="D119">
    <cfRule type="expression" dxfId="212" priority="28">
      <formula>$F$114=1</formula>
    </cfRule>
  </conditionalFormatting>
  <conditionalFormatting sqref="D118">
    <cfRule type="expression" dxfId="211" priority="27">
      <formula>$F$114=1</formula>
    </cfRule>
  </conditionalFormatting>
  <conditionalFormatting sqref="D107">
    <cfRule type="expression" dxfId="210" priority="26">
      <formula>$F$102=1</formula>
    </cfRule>
  </conditionalFormatting>
  <conditionalFormatting sqref="C64">
    <cfRule type="expression" dxfId="209" priority="25">
      <formula>$C$64="n/a"</formula>
    </cfRule>
  </conditionalFormatting>
  <conditionalFormatting sqref="B82:E84">
    <cfRule type="expression" dxfId="208" priority="24">
      <formula>$F$79="N/A"</formula>
    </cfRule>
  </conditionalFormatting>
  <conditionalFormatting sqref="C61">
    <cfRule type="expression" dxfId="207" priority="21">
      <formula>C61="n/a"</formula>
    </cfRule>
    <cfRule type="expression" dxfId="206" priority="22">
      <formula>C61="No"</formula>
    </cfRule>
    <cfRule type="expression" dxfId="205" priority="23">
      <formula>C61="Yes"</formula>
    </cfRule>
  </conditionalFormatting>
  <conditionalFormatting sqref="B61">
    <cfRule type="expression" dxfId="204" priority="18">
      <formula>B61="n/a"</formula>
    </cfRule>
    <cfRule type="expression" dxfId="203" priority="19">
      <formula>B61="No"</formula>
    </cfRule>
    <cfRule type="expression" dxfId="202" priority="20">
      <formula>B61="Yes"</formula>
    </cfRule>
  </conditionalFormatting>
  <conditionalFormatting sqref="D61:F61">
    <cfRule type="expression" dxfId="201" priority="15">
      <formula>D61="n/a"</formula>
    </cfRule>
    <cfRule type="expression" dxfId="200" priority="16">
      <formula>D61="No"</formula>
    </cfRule>
    <cfRule type="expression" dxfId="199" priority="17">
      <formula>D61="Yes"</formula>
    </cfRule>
  </conditionalFormatting>
  <conditionalFormatting sqref="B70">
    <cfRule type="expression" dxfId="198" priority="12">
      <formula>B70="n/a"</formula>
    </cfRule>
    <cfRule type="expression" dxfId="197" priority="13">
      <formula>B70="No"</formula>
    </cfRule>
    <cfRule type="expression" dxfId="196" priority="14">
      <formula>B70="Yes"</formula>
    </cfRule>
  </conditionalFormatting>
  <conditionalFormatting sqref="B91">
    <cfRule type="expression" dxfId="195" priority="9">
      <formula>B91="n/a"</formula>
    </cfRule>
    <cfRule type="expression" dxfId="194" priority="10">
      <formula>B91="No"</formula>
    </cfRule>
    <cfRule type="expression" dxfId="193" priority="11">
      <formula>B91="Yes"</formula>
    </cfRule>
  </conditionalFormatting>
  <conditionalFormatting sqref="B104">
    <cfRule type="expression" dxfId="192" priority="6">
      <formula>B104="n/a"</formula>
    </cfRule>
    <cfRule type="expression" dxfId="191" priority="7">
      <formula>B104="No"</formula>
    </cfRule>
    <cfRule type="expression" dxfId="190" priority="8">
      <formula>B104="Yes"</formula>
    </cfRule>
  </conditionalFormatting>
  <conditionalFormatting sqref="B116">
    <cfRule type="expression" dxfId="189" priority="3">
      <formula>B116="n/a"</formula>
    </cfRule>
    <cfRule type="expression" dxfId="188" priority="4">
      <formula>B116="No"</formula>
    </cfRule>
    <cfRule type="expression" dxfId="187" priority="5">
      <formula>B116="Yes"</formula>
    </cfRule>
  </conditionalFormatting>
  <conditionalFormatting sqref="F75">
    <cfRule type="expression" dxfId="186" priority="2">
      <formula>$E$75&gt;=5%</formula>
    </cfRule>
  </conditionalFormatting>
  <conditionalFormatting sqref="F76">
    <cfRule type="expression" dxfId="185" priority="1">
      <formula>$E$76&gt;0</formula>
    </cfRule>
  </conditionalFormatting>
  <dataValidations count="2">
    <dataValidation type="decimal" allowBlank="1" showInputMessage="1" showErrorMessage="1" errorTitle="Invalid Latitude!" error="You've entered a latitude that is not in Vermont." sqref="D5:F5" xr:uid="{1192402F-A19B-4D8F-8110-8CE88331B222}">
      <formula1>42.72</formula1>
      <formula2>45.02</formula2>
    </dataValidation>
    <dataValidation type="decimal" allowBlank="1" showInputMessage="1" showErrorMessage="1" errorTitle="Invalid Longitude" error="You've entered a longitude outside of Vermont.  Longitude values in VT should always be negative." sqref="D6:F6" xr:uid="{CFE12649-22A0-4D04-9407-44C03E154D6E}">
      <formula1>-73.732</formula1>
      <formula2>-71.46</formula2>
    </dataValidation>
  </dataValidations>
  <hyperlinks>
    <hyperlink ref="E8" r:id="rId1" xr:uid="{109A115F-67BC-4D90-8D26-CF5D9E208043}"/>
  </hyperlinks>
  <pageMargins left="0.5" right="0.5" top="0.75" bottom="0.75" header="0.3" footer="0.3"/>
  <pageSetup orientation="portrait" r:id="rId2"/>
  <headerFooter>
    <oddHeader>&amp;C&amp;"-,Bold"&amp;14Vermont Operational Stormwater Permit - Standards Compliance Workbook</oddHeader>
    <oddFooter>&amp;LLast Updated 11/20/2017
&amp;R&amp;A: 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23905" r:id="rId5" name="Group Box 1">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23906" r:id="rId6" name="Option Button 2">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23907" r:id="rId7" name="Option Button 3">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23908" r:id="rId8" name="Group Box 4">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23909" r:id="rId9" name="Option Button 5">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23910" r:id="rId10" name="Option Button 6">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23911" r:id="rId11" name="Group Box 7">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23912" r:id="rId12" name="Option Button 8">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23913" r:id="rId13" name="Option Button 9">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23914" r:id="rId14" name="Group Box 10">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23915" r:id="rId15" name="Option Button 11">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23916" r:id="rId16" name="Option Button 12">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23917" r:id="rId17" name="Group Box 13">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23918" r:id="rId18" name="Option Button 14">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23919" r:id="rId19" name="Option Button 15">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23920" r:id="rId20" name="Check Box 16">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23921" r:id="rId21" name="Group Box 17">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23922" r:id="rId22" name="Option Button 18">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23923" r:id="rId23" name="Option Button 19">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23924" r:id="rId24" name="Group Box 20">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23925" r:id="rId25" name="Group Box 2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23926" r:id="rId26" name="Option Button 2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23927" r:id="rId27" name="Option Button 2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23928" r:id="rId28" name="Option Button 24">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23929" r:id="rId29" name="Option Button 25">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5ED41C93-52B5-4958-84C4-5CA526A65D38}">
          <x14:formula1>
            <xm:f>Lookup!$G$11:$G$23</xm:f>
          </x14:formula1>
          <xm:sqref>A50:A54 C50:D54</xm:sqref>
        </x14:dataValidation>
        <x14:dataValidation type="list" allowBlank="1" showInputMessage="1" showErrorMessage="1" xr:uid="{464EBA99-01C0-447D-B18F-F3506B4E6FD4}">
          <x14:formula1>
            <xm:f>Lookup!$G$12:$G$23</xm:f>
          </x14:formula1>
          <xm:sqref>A55</xm:sqref>
        </x14:dataValidation>
        <x14:dataValidation type="list" allowBlank="1" showInputMessage="1" showErrorMessage="1" xr:uid="{08C88B89-CAFE-452A-AE6B-EBB9C0D1E007}">
          <x14:formula1>
            <xm:f>Lookup!$H$13:$H$19</xm:f>
          </x14:formula1>
          <xm:sqref>C82:D82 B82:B84</xm:sqref>
        </x14:dataValidation>
        <x14:dataValidation type="list" allowBlank="1" showInputMessage="1" showErrorMessage="1" xr:uid="{CF20A15D-124F-4C01-A53B-9475EA5C553D}">
          <x14:formula1>
            <xm:f>Lookup!$J$4:$J$8</xm:f>
          </x14:formula1>
          <xm:sqref>E115:F115</xm:sqref>
        </x14:dataValidation>
        <x14:dataValidation type="list" allowBlank="1" showInputMessage="1" showErrorMessage="1" xr:uid="{B05134A7-B120-405E-9D38-3B6544E54838}">
          <x14:formula1>
            <xm:f>Lookup!$I$4:$I$8</xm:f>
          </x14:formula1>
          <xm:sqref>E103:F103</xm:sqref>
        </x14:dataValidation>
        <x14:dataValidation type="list" allowBlank="1" showInputMessage="1" showErrorMessage="1" xr:uid="{48DC7F42-0D59-4504-B217-AA5F1653356C}">
          <x14:formula1>
            <xm:f>Lookup!$H$4:$H$7</xm:f>
          </x14:formula1>
          <xm:sqref>E90:F90</xm:sqref>
        </x14:dataValidation>
        <x14:dataValidation type="list" allowBlank="1" showInputMessage="1" showErrorMessage="1" xr:uid="{8D968056-427D-4C22-BE9A-EDC56C9AA9DB}">
          <x14:formula1>
            <xm:f>Lookup!$G$3:$G$6</xm:f>
          </x14:formula1>
          <xm:sqref>E68:F68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E24F4-F3E1-4B72-A8F8-8B6C88255150}">
  <dimension ref="A1:O125"/>
  <sheetViews>
    <sheetView view="pageLayout" zoomScaleNormal="100" workbookViewId="0">
      <selection activeCell="F9" sqref="F9"/>
    </sheetView>
  </sheetViews>
  <sheetFormatPr defaultRowHeight="14.4" x14ac:dyDescent="0.3"/>
  <cols>
    <col min="1" max="1" width="21.88671875" style="181" customWidth="1"/>
    <col min="2" max="6" width="12.21875" style="181" customWidth="1"/>
    <col min="7" max="7" width="7.21875" style="181" customWidth="1"/>
    <col min="8" max="8" width="8.88671875" style="181"/>
    <col min="9" max="9" width="8.6640625" style="181" customWidth="1"/>
    <col min="10" max="16384" width="8.88671875" style="181"/>
  </cols>
  <sheetData>
    <row r="1" spans="1:15" ht="18" x14ac:dyDescent="0.35">
      <c r="A1" s="96" t="s">
        <v>32</v>
      </c>
      <c r="B1" s="97"/>
      <c r="C1" s="97"/>
      <c r="D1" s="97"/>
      <c r="E1" s="97"/>
      <c r="F1" s="97"/>
      <c r="G1" s="98"/>
      <c r="H1" s="32"/>
      <c r="I1" s="21"/>
      <c r="J1" s="21"/>
    </row>
    <row r="2" spans="1:15" x14ac:dyDescent="0.3">
      <c r="A2" s="14"/>
      <c r="B2" s="13"/>
      <c r="C2" s="45" t="s">
        <v>29</v>
      </c>
      <c r="D2" s="411" t="str">
        <f>IF(Summary!C1="","",Summary!C1)</f>
        <v>East Street Industrial Park</v>
      </c>
      <c r="E2" s="411"/>
      <c r="F2" s="411"/>
      <c r="G2" s="99"/>
      <c r="H2" s="22"/>
      <c r="I2" s="22"/>
      <c r="J2" s="22"/>
    </row>
    <row r="3" spans="1:15" x14ac:dyDescent="0.3">
      <c r="A3" s="14"/>
      <c r="B3" s="13"/>
      <c r="C3" s="45" t="s">
        <v>30</v>
      </c>
      <c r="D3" s="427"/>
      <c r="E3" s="428"/>
      <c r="F3" s="429"/>
      <c r="G3" s="99"/>
      <c r="H3" s="22"/>
      <c r="I3" s="22"/>
      <c r="J3" s="22"/>
    </row>
    <row r="4" spans="1:15" x14ac:dyDescent="0.3">
      <c r="A4" s="14"/>
      <c r="B4" s="13"/>
      <c r="C4" s="45" t="s">
        <v>31</v>
      </c>
      <c r="D4" s="415"/>
      <c r="E4" s="416"/>
      <c r="F4" s="417"/>
      <c r="G4" s="99"/>
      <c r="H4" s="22"/>
      <c r="I4" s="22"/>
      <c r="J4" s="22"/>
    </row>
    <row r="5" spans="1:15" x14ac:dyDescent="0.3">
      <c r="A5" s="14"/>
      <c r="B5" s="13"/>
      <c r="C5" s="45" t="s">
        <v>172</v>
      </c>
      <c r="D5" s="430"/>
      <c r="E5" s="430"/>
      <c r="F5" s="430"/>
      <c r="G5" s="99"/>
      <c r="H5" s="22"/>
      <c r="I5" s="22"/>
      <c r="J5" s="22"/>
    </row>
    <row r="6" spans="1:15" ht="15.6" customHeight="1" x14ac:dyDescent="0.3">
      <c r="A6" s="14"/>
      <c r="B6" s="13"/>
      <c r="C6" s="46" t="s">
        <v>177</v>
      </c>
      <c r="D6" s="431"/>
      <c r="E6" s="432"/>
      <c r="F6" s="433"/>
      <c r="G6" s="99"/>
      <c r="H6" s="22"/>
      <c r="I6" s="22"/>
      <c r="J6" s="22"/>
    </row>
    <row r="7" spans="1:15" ht="9.6" customHeight="1" x14ac:dyDescent="0.3">
      <c r="A7" s="14"/>
      <c r="B7" s="13"/>
      <c r="C7" s="13"/>
      <c r="D7" s="13"/>
      <c r="E7" s="13"/>
      <c r="F7" s="15"/>
      <c r="G7" s="99"/>
      <c r="H7" s="22"/>
      <c r="I7" s="22"/>
      <c r="J7" s="22"/>
    </row>
    <row r="8" spans="1:15" ht="18" x14ac:dyDescent="0.35">
      <c r="A8" s="91" t="s">
        <v>53</v>
      </c>
      <c r="B8" s="434" t="s">
        <v>40</v>
      </c>
      <c r="C8" s="434"/>
      <c r="D8" s="434"/>
      <c r="E8" s="76" t="s">
        <v>41</v>
      </c>
      <c r="F8" s="13"/>
      <c r="G8" s="60"/>
      <c r="K8" s="23"/>
      <c r="L8" s="13"/>
      <c r="M8" s="13"/>
      <c r="N8" s="13"/>
      <c r="O8" s="13"/>
    </row>
    <row r="9" spans="1:15" x14ac:dyDescent="0.3">
      <c r="A9" s="130" t="s">
        <v>52</v>
      </c>
      <c r="B9" s="131" t="s">
        <v>54</v>
      </c>
      <c r="C9" s="132" t="s">
        <v>55</v>
      </c>
      <c r="D9" s="132" t="s">
        <v>56</v>
      </c>
      <c r="E9" s="132" t="s">
        <v>57</v>
      </c>
      <c r="F9" s="13"/>
      <c r="G9" s="60"/>
      <c r="K9" s="13"/>
      <c r="L9" s="13"/>
      <c r="M9" s="13"/>
      <c r="N9" s="13"/>
    </row>
    <row r="10" spans="1:15" x14ac:dyDescent="0.3">
      <c r="A10" s="61" t="s">
        <v>0</v>
      </c>
      <c r="B10" s="217">
        <v>1</v>
      </c>
      <c r="C10" s="218">
        <v>0</v>
      </c>
      <c r="D10" s="218">
        <v>0</v>
      </c>
      <c r="E10" s="218">
        <v>0</v>
      </c>
      <c r="F10" s="13"/>
      <c r="G10" s="60"/>
      <c r="K10" s="13"/>
      <c r="L10" s="13"/>
      <c r="M10" s="13"/>
      <c r="N10" s="13"/>
    </row>
    <row r="11" spans="1:15" ht="12.6" customHeight="1" thickBot="1" x14ac:dyDescent="0.35">
      <c r="A11" s="100"/>
      <c r="B11" s="101"/>
      <c r="C11" s="102"/>
      <c r="D11" s="102"/>
      <c r="E11" s="102"/>
      <c r="F11" s="102"/>
      <c r="G11" s="70"/>
      <c r="K11" s="13"/>
      <c r="L11" s="6"/>
      <c r="M11" s="13"/>
      <c r="N11" s="13"/>
      <c r="O11" s="13"/>
    </row>
    <row r="12" spans="1:15" ht="15.6" x14ac:dyDescent="0.3">
      <c r="A12" s="77" t="s">
        <v>82</v>
      </c>
      <c r="B12" s="94"/>
      <c r="C12" s="95"/>
      <c r="D12" s="95"/>
      <c r="E12" s="95"/>
      <c r="F12" s="95"/>
      <c r="G12" s="58"/>
      <c r="K12" s="13"/>
      <c r="L12" s="6"/>
      <c r="M12" s="13"/>
      <c r="N12" s="13"/>
      <c r="O12" s="13"/>
    </row>
    <row r="13" spans="1:15" ht="15.6" x14ac:dyDescent="0.3">
      <c r="A13" s="425" t="s">
        <v>58</v>
      </c>
      <c r="B13" s="426"/>
      <c r="C13" s="426"/>
      <c r="D13" s="426"/>
      <c r="E13" s="426"/>
      <c r="F13" s="426"/>
      <c r="G13" s="60"/>
      <c r="K13" s="13"/>
      <c r="L13" s="6"/>
      <c r="M13" s="13"/>
      <c r="N13" s="13"/>
      <c r="O13" s="13"/>
    </row>
    <row r="14" spans="1:15" x14ac:dyDescent="0.3">
      <c r="A14" s="243" t="s">
        <v>8</v>
      </c>
      <c r="B14" s="303" t="s">
        <v>2</v>
      </c>
      <c r="C14" s="303" t="s">
        <v>3</v>
      </c>
      <c r="D14" s="303" t="s">
        <v>4</v>
      </c>
      <c r="E14" s="303" t="s">
        <v>5</v>
      </c>
      <c r="F14" s="297" t="s">
        <v>13</v>
      </c>
      <c r="G14" s="385"/>
      <c r="H14" s="19"/>
      <c r="I14" s="19"/>
      <c r="J14" s="19"/>
      <c r="K14" s="13"/>
      <c r="L14" s="13"/>
      <c r="M14" s="13"/>
      <c r="N14" s="13"/>
      <c r="O14" s="13"/>
    </row>
    <row r="15" spans="1:15" ht="15.6" x14ac:dyDescent="0.3">
      <c r="A15" s="111" t="s">
        <v>6</v>
      </c>
      <c r="B15" s="216">
        <v>0</v>
      </c>
      <c r="C15" s="216">
        <v>0</v>
      </c>
      <c r="D15" s="216">
        <v>0</v>
      </c>
      <c r="E15" s="216">
        <v>0</v>
      </c>
      <c r="F15" s="133">
        <f t="shared" ref="F15:F18" si="0">SUM(B15:E15)</f>
        <v>0</v>
      </c>
      <c r="G15" s="385"/>
      <c r="H15" s="19"/>
      <c r="I15" s="19"/>
      <c r="J15" s="19"/>
      <c r="K15" s="10"/>
      <c r="L15" s="13"/>
      <c r="M15" s="13"/>
      <c r="N15" s="13"/>
      <c r="O15" s="13"/>
    </row>
    <row r="16" spans="1:15" x14ac:dyDescent="0.3">
      <c r="A16" s="111" t="s">
        <v>38</v>
      </c>
      <c r="B16" s="216">
        <v>0</v>
      </c>
      <c r="C16" s="216">
        <v>0</v>
      </c>
      <c r="D16" s="216">
        <v>0</v>
      </c>
      <c r="E16" s="216">
        <v>0</v>
      </c>
      <c r="F16" s="133">
        <f t="shared" si="0"/>
        <v>0</v>
      </c>
      <c r="G16" s="60"/>
      <c r="H16" s="1"/>
      <c r="I16" s="33"/>
      <c r="J16" s="33"/>
      <c r="K16" s="13"/>
      <c r="L16" s="22"/>
      <c r="M16" s="13"/>
      <c r="N16" s="13"/>
      <c r="O16" s="13"/>
    </row>
    <row r="17" spans="1:15" x14ac:dyDescent="0.3">
      <c r="A17" s="111" t="s">
        <v>7</v>
      </c>
      <c r="B17" s="216">
        <v>0</v>
      </c>
      <c r="C17" s="216">
        <v>0</v>
      </c>
      <c r="D17" s="216">
        <v>0</v>
      </c>
      <c r="E17" s="216">
        <v>0</v>
      </c>
      <c r="F17" s="133">
        <f t="shared" si="0"/>
        <v>0</v>
      </c>
      <c r="G17" s="60"/>
      <c r="H17" s="1"/>
      <c r="I17" s="33"/>
      <c r="J17" s="33"/>
      <c r="K17" s="13"/>
      <c r="L17" s="22"/>
      <c r="M17" s="13"/>
      <c r="N17" s="13"/>
      <c r="O17" s="13"/>
    </row>
    <row r="18" spans="1:15" x14ac:dyDescent="0.3">
      <c r="A18" s="224" t="s">
        <v>251</v>
      </c>
      <c r="B18" s="216">
        <v>0</v>
      </c>
      <c r="C18" s="216">
        <v>0</v>
      </c>
      <c r="D18" s="216">
        <v>0</v>
      </c>
      <c r="E18" s="216">
        <v>0</v>
      </c>
      <c r="F18" s="133">
        <f t="shared" si="0"/>
        <v>0</v>
      </c>
      <c r="G18" s="60"/>
      <c r="H18" s="19"/>
      <c r="I18" s="19"/>
      <c r="J18" s="34"/>
      <c r="K18" s="13"/>
      <c r="L18" s="22"/>
      <c r="M18" s="13"/>
      <c r="N18" s="13"/>
      <c r="O18" s="13"/>
    </row>
    <row r="19" spans="1:15" ht="13.8" customHeight="1" x14ac:dyDescent="0.3">
      <c r="A19" s="68"/>
      <c r="B19" s="255"/>
      <c r="C19" s="255"/>
      <c r="D19" s="271"/>
      <c r="E19" s="261" t="s">
        <v>249</v>
      </c>
      <c r="F19" s="274">
        <v>0</v>
      </c>
      <c r="G19" s="60"/>
      <c r="H19" s="19"/>
      <c r="I19" s="19"/>
      <c r="J19" s="34"/>
      <c r="K19" s="13"/>
      <c r="L19" s="6"/>
      <c r="M19" s="13"/>
      <c r="N19" s="13"/>
      <c r="O19" s="13"/>
    </row>
    <row r="20" spans="1:15" ht="13.8" customHeight="1" x14ac:dyDescent="0.3">
      <c r="A20" s="68"/>
      <c r="B20" s="255"/>
      <c r="C20" s="255"/>
      <c r="D20" s="255"/>
      <c r="E20" s="261" t="s">
        <v>250</v>
      </c>
      <c r="F20" s="272">
        <f>SUM(F15:F19)</f>
        <v>0</v>
      </c>
      <c r="G20" s="60"/>
      <c r="H20" s="19"/>
      <c r="I20" s="19"/>
      <c r="J20" s="34"/>
      <c r="K20" s="13"/>
      <c r="L20" s="6"/>
      <c r="M20" s="13"/>
      <c r="N20" s="13"/>
      <c r="O20" s="13"/>
    </row>
    <row r="21" spans="1:15" ht="28.2" customHeight="1" x14ac:dyDescent="0.3">
      <c r="A21" s="353" t="str">
        <f>IF(F18=0,IF(F28+F29+F30&gt;0,"Existing and/or redeveloped impervious has been defined in post development. User must define existing impervious in pre development.",""),"")</f>
        <v/>
      </c>
      <c r="B21" s="354"/>
      <c r="C21" s="354"/>
      <c r="D21" s="354"/>
      <c r="E21" s="354"/>
      <c r="F21" s="354"/>
      <c r="G21" s="355"/>
      <c r="H21" s="19"/>
      <c r="I21" s="19"/>
      <c r="J21" s="34"/>
      <c r="K21" s="13"/>
      <c r="L21" s="6"/>
      <c r="M21" s="13"/>
      <c r="N21" s="13"/>
      <c r="O21" s="13"/>
    </row>
    <row r="22" spans="1:15" ht="15.6" x14ac:dyDescent="0.3">
      <c r="A22" s="397" t="s">
        <v>123</v>
      </c>
      <c r="B22" s="398"/>
      <c r="C22" s="398"/>
      <c r="D22" s="398"/>
      <c r="E22" s="398"/>
      <c r="F22" s="398"/>
      <c r="G22" s="262" t="s">
        <v>246</v>
      </c>
      <c r="H22" s="19"/>
      <c r="I22" s="19"/>
      <c r="J22" s="34"/>
      <c r="K22" s="13"/>
      <c r="L22" s="6"/>
      <c r="M22" s="13"/>
      <c r="N22" s="13"/>
      <c r="O22" s="13"/>
    </row>
    <row r="23" spans="1:15" ht="13.8" customHeight="1" x14ac:dyDescent="0.3">
      <c r="A23" s="243" t="s">
        <v>8</v>
      </c>
      <c r="B23" s="303" t="s">
        <v>2</v>
      </c>
      <c r="C23" s="303" t="s">
        <v>3</v>
      </c>
      <c r="D23" s="303" t="s">
        <v>4</v>
      </c>
      <c r="E23" s="303" t="s">
        <v>5</v>
      </c>
      <c r="F23" s="297" t="s">
        <v>13</v>
      </c>
      <c r="G23" s="60"/>
      <c r="L23" s="6"/>
      <c r="M23" s="13"/>
      <c r="N23" s="13"/>
      <c r="O23" s="13"/>
    </row>
    <row r="24" spans="1:15" x14ac:dyDescent="0.3">
      <c r="A24" s="111" t="s">
        <v>6</v>
      </c>
      <c r="B24" s="216">
        <v>0</v>
      </c>
      <c r="C24" s="216">
        <v>0</v>
      </c>
      <c r="D24" s="216">
        <v>0</v>
      </c>
      <c r="E24" s="216">
        <v>0</v>
      </c>
      <c r="F24" s="133">
        <f>SUM(B24:E24)</f>
        <v>0</v>
      </c>
      <c r="G24" s="60"/>
      <c r="L24" s="13"/>
      <c r="M24" s="13"/>
      <c r="N24" s="13"/>
      <c r="O24" s="13"/>
    </row>
    <row r="25" spans="1:15" x14ac:dyDescent="0.3">
      <c r="A25" s="111" t="s">
        <v>38</v>
      </c>
      <c r="B25" s="216">
        <v>0</v>
      </c>
      <c r="C25" s="216">
        <v>0</v>
      </c>
      <c r="D25" s="216">
        <v>0</v>
      </c>
      <c r="E25" s="216">
        <v>0</v>
      </c>
      <c r="F25" s="133">
        <f>SUM(B25:E25)</f>
        <v>0</v>
      </c>
      <c r="G25" s="60"/>
      <c r="L25" s="13"/>
      <c r="M25" s="13"/>
      <c r="N25" s="13"/>
      <c r="O25" s="13"/>
    </row>
    <row r="26" spans="1:15" x14ac:dyDescent="0.3">
      <c r="A26" s="111" t="s">
        <v>7</v>
      </c>
      <c r="B26" s="216">
        <v>0</v>
      </c>
      <c r="C26" s="216">
        <v>0</v>
      </c>
      <c r="D26" s="216">
        <v>0</v>
      </c>
      <c r="E26" s="216">
        <v>0</v>
      </c>
      <c r="F26" s="133">
        <f>SUM(B26:E26)</f>
        <v>0</v>
      </c>
      <c r="G26" s="60"/>
      <c r="L26" s="6"/>
      <c r="M26" s="13"/>
      <c r="N26" s="13"/>
      <c r="O26" s="13"/>
    </row>
    <row r="27" spans="1:15" x14ac:dyDescent="0.3">
      <c r="A27" s="244" t="s">
        <v>243</v>
      </c>
      <c r="B27" s="256">
        <v>0</v>
      </c>
      <c r="C27" s="256">
        <v>0</v>
      </c>
      <c r="D27" s="256">
        <v>0</v>
      </c>
      <c r="E27" s="256">
        <v>0</v>
      </c>
      <c r="F27" s="257">
        <f>SUM(B27:E27)</f>
        <v>0</v>
      </c>
      <c r="G27" s="263">
        <f>IF(F32=0,0,F27/$F$32)</f>
        <v>0</v>
      </c>
      <c r="L27" s="6"/>
      <c r="M27" s="13"/>
      <c r="N27" s="13"/>
      <c r="O27" s="13"/>
    </row>
    <row r="28" spans="1:15" ht="43.2" x14ac:dyDescent="0.3">
      <c r="A28" s="254" t="s">
        <v>244</v>
      </c>
      <c r="B28" s="253">
        <v>0</v>
      </c>
      <c r="C28" s="253">
        <v>0</v>
      </c>
      <c r="D28" s="253">
        <v>0</v>
      </c>
      <c r="E28" s="253">
        <v>0</v>
      </c>
      <c r="F28" s="234">
        <f>SUM(B28:E28)</f>
        <v>0</v>
      </c>
      <c r="G28" s="264">
        <f>IF(F32=0,0,F28/$F$32)</f>
        <v>0</v>
      </c>
      <c r="L28" s="6"/>
      <c r="M28" s="13"/>
      <c r="N28" s="13"/>
      <c r="O28" s="13"/>
    </row>
    <row r="29" spans="1:15" x14ac:dyDescent="0.3">
      <c r="A29" s="254"/>
      <c r="B29" s="276"/>
      <c r="C29" s="276"/>
      <c r="D29" s="276"/>
      <c r="E29" s="277" t="s">
        <v>247</v>
      </c>
      <c r="F29" s="275">
        <v>0</v>
      </c>
      <c r="G29" s="263">
        <f>IF(F32=0,0,F29/$F$32)</f>
        <v>0</v>
      </c>
      <c r="L29" s="6"/>
      <c r="M29" s="13"/>
      <c r="N29" s="13"/>
      <c r="O29" s="13"/>
    </row>
    <row r="30" spans="1:15" x14ac:dyDescent="0.3">
      <c r="A30" s="14"/>
      <c r="B30" s="278"/>
      <c r="C30" s="278"/>
      <c r="D30" s="278"/>
      <c r="E30" s="279" t="s">
        <v>39</v>
      </c>
      <c r="F30" s="275">
        <v>0</v>
      </c>
      <c r="G30" s="263">
        <f>IF(F32=0,0,F30/$F$32)</f>
        <v>0</v>
      </c>
      <c r="H30" s="19"/>
      <c r="I30" s="19"/>
      <c r="J30" s="34"/>
      <c r="K30" s="13"/>
      <c r="L30" s="6"/>
      <c r="M30" s="13"/>
      <c r="N30" s="13"/>
      <c r="O30" s="13"/>
    </row>
    <row r="31" spans="1:15" x14ac:dyDescent="0.3">
      <c r="A31" s="14"/>
      <c r="B31" s="356" t="s">
        <v>248</v>
      </c>
      <c r="C31" s="356"/>
      <c r="D31" s="356"/>
      <c r="E31" s="356"/>
      <c r="F31" s="273">
        <f>F19</f>
        <v>0</v>
      </c>
      <c r="G31" s="263">
        <f>IF(F32=0,0,F31/$F$32)</f>
        <v>0</v>
      </c>
      <c r="H31" s="19"/>
      <c r="I31" s="19"/>
      <c r="J31" s="34"/>
      <c r="K31" s="13"/>
      <c r="L31" s="6"/>
      <c r="M31" s="13"/>
      <c r="N31" s="13"/>
      <c r="O31" s="13"/>
    </row>
    <row r="32" spans="1:15" x14ac:dyDescent="0.3">
      <c r="A32" s="14"/>
      <c r="B32" s="278"/>
      <c r="C32" s="278"/>
      <c r="D32" s="280"/>
      <c r="E32" s="281" t="s">
        <v>9</v>
      </c>
      <c r="F32" s="235">
        <f>SUM(F24:F31)</f>
        <v>0</v>
      </c>
      <c r="G32" s="60"/>
      <c r="H32" s="1"/>
      <c r="I32" s="33"/>
      <c r="J32" s="33"/>
      <c r="K32" s="13"/>
      <c r="L32" s="6"/>
      <c r="M32" s="13"/>
      <c r="N32" s="13"/>
      <c r="O32" s="13"/>
    </row>
    <row r="33" spans="1:15" ht="7.2" customHeight="1" x14ac:dyDescent="0.3">
      <c r="A33" s="14"/>
      <c r="B33" s="13"/>
      <c r="C33" s="13"/>
      <c r="D33" s="255"/>
      <c r="E33" s="145"/>
      <c r="F33" s="255"/>
      <c r="G33" s="60"/>
      <c r="H33" s="1"/>
      <c r="I33" s="33"/>
      <c r="J33" s="33"/>
      <c r="K33" s="13"/>
      <c r="L33" s="6"/>
      <c r="M33" s="13"/>
      <c r="N33" s="13"/>
      <c r="O33" s="13"/>
    </row>
    <row r="34" spans="1:15" x14ac:dyDescent="0.3">
      <c r="A34" s="14"/>
      <c r="B34" s="13"/>
      <c r="C34" s="13"/>
      <c r="D34" s="255"/>
      <c r="E34" s="260" t="s">
        <v>220</v>
      </c>
      <c r="F34" s="235">
        <f>F31+F30+F28+F27</f>
        <v>0</v>
      </c>
      <c r="G34" s="60"/>
      <c r="H34" s="1"/>
      <c r="I34" s="33"/>
      <c r="J34" s="33"/>
      <c r="K34" s="13"/>
      <c r="L34" s="6"/>
      <c r="M34" s="13"/>
      <c r="N34" s="13"/>
      <c r="O34" s="13"/>
    </row>
    <row r="35" spans="1:15" x14ac:dyDescent="0.3">
      <c r="A35" s="14"/>
      <c r="B35" s="13"/>
      <c r="C35" s="13"/>
      <c r="D35" s="255"/>
      <c r="E35" s="261" t="s">
        <v>202</v>
      </c>
      <c r="F35" s="259">
        <f>IF(F18-(F27+F28+F30+F29+F31)&lt;0,0,F18-(F27+F28+F30+F29+F31))</f>
        <v>0</v>
      </c>
      <c r="G35" s="263">
        <f>IF(F18=0,0,F35/F18)</f>
        <v>0</v>
      </c>
      <c r="H35" s="1"/>
      <c r="I35" s="33"/>
      <c r="J35" s="33"/>
      <c r="K35" s="13"/>
      <c r="L35" s="6"/>
      <c r="M35" s="13"/>
      <c r="N35" s="13"/>
      <c r="O35" s="13"/>
    </row>
    <row r="36" spans="1:15" x14ac:dyDescent="0.3">
      <c r="A36" s="14"/>
      <c r="B36" s="13"/>
      <c r="C36" s="13"/>
      <c r="D36" s="255"/>
      <c r="E36" s="261" t="s">
        <v>245</v>
      </c>
      <c r="F36" s="259">
        <f>IF((F18-F29-F28-F30)&lt;0,0,(F18-F29-F28-F30))</f>
        <v>0</v>
      </c>
      <c r="G36" s="263">
        <f>IF(F18-F28-F29=0,0,F36/(F18-F28-F29))</f>
        <v>0</v>
      </c>
      <c r="H36" s="1"/>
      <c r="I36" s="33"/>
      <c r="J36" s="33"/>
      <c r="K36" s="13"/>
      <c r="L36" s="6"/>
      <c r="M36" s="13"/>
      <c r="N36" s="13"/>
      <c r="O36" s="13"/>
    </row>
    <row r="37" spans="1:15" ht="7.2" customHeight="1" x14ac:dyDescent="0.3">
      <c r="A37" s="14"/>
      <c r="B37" s="13"/>
      <c r="C37" s="13"/>
      <c r="D37" s="255"/>
      <c r="E37" s="258"/>
      <c r="F37" s="19"/>
      <c r="G37" s="60"/>
      <c r="H37" s="1"/>
      <c r="I37" s="33"/>
      <c r="J37" s="33"/>
      <c r="K37" s="13"/>
      <c r="L37" s="6"/>
      <c r="M37" s="13"/>
      <c r="N37" s="13"/>
      <c r="O37" s="13"/>
    </row>
    <row r="38" spans="1:15" ht="30.6" customHeight="1" thickBot="1" x14ac:dyDescent="0.35">
      <c r="A38" s="402" t="str">
        <f>IF(F32=F20,"","WARNING: Pre development and post development areas don't match, so evaluation of the Hydrologic Condition Method is not appropriate within this drainage area. Designer may consider HCM across drainage areas.")</f>
        <v/>
      </c>
      <c r="B38" s="403"/>
      <c r="C38" s="403"/>
      <c r="D38" s="403"/>
      <c r="E38" s="403"/>
      <c r="F38" s="403"/>
      <c r="G38" s="404"/>
      <c r="H38" s="1"/>
      <c r="I38" s="33"/>
      <c r="J38" s="33"/>
      <c r="K38" s="13"/>
      <c r="L38" s="6"/>
      <c r="M38" s="13"/>
      <c r="N38" s="13"/>
      <c r="O38" s="13"/>
    </row>
    <row r="39" spans="1:15" ht="43.2" x14ac:dyDescent="0.3">
      <c r="A39" s="405" t="s">
        <v>242</v>
      </c>
      <c r="B39" s="406"/>
      <c r="C39" s="57"/>
      <c r="D39" s="236"/>
      <c r="E39" s="237" t="s">
        <v>219</v>
      </c>
      <c r="F39" s="238" t="s">
        <v>218</v>
      </c>
      <c r="G39" s="58"/>
      <c r="H39" s="1"/>
      <c r="I39" s="33"/>
      <c r="K39" s="13"/>
      <c r="L39" s="6"/>
      <c r="M39" s="13"/>
      <c r="N39" s="13"/>
      <c r="O39" s="13"/>
    </row>
    <row r="40" spans="1:15" ht="14.4" customHeight="1" x14ac:dyDescent="0.3">
      <c r="A40" s="407"/>
      <c r="B40" s="408"/>
      <c r="C40" s="13"/>
      <c r="D40" s="20" t="s">
        <v>216</v>
      </c>
      <c r="E40" s="198">
        <v>0</v>
      </c>
      <c r="F40" s="171">
        <v>0</v>
      </c>
      <c r="G40" s="60"/>
      <c r="H40" s="1"/>
      <c r="I40" s="33"/>
      <c r="J40" s="33"/>
      <c r="K40" s="13"/>
      <c r="L40" s="6"/>
      <c r="M40" s="13"/>
      <c r="N40" s="13"/>
      <c r="O40" s="13"/>
    </row>
    <row r="41" spans="1:15" ht="14.4" customHeight="1" x14ac:dyDescent="0.3">
      <c r="A41" s="407"/>
      <c r="B41" s="408"/>
      <c r="C41" s="13"/>
      <c r="D41" s="20" t="s">
        <v>217</v>
      </c>
      <c r="E41" s="198">
        <v>0</v>
      </c>
      <c r="F41" s="171">
        <v>0</v>
      </c>
      <c r="G41" s="60"/>
      <c r="H41" s="1"/>
      <c r="I41" s="33"/>
      <c r="J41" s="33"/>
      <c r="K41" s="13"/>
      <c r="L41" s="6"/>
      <c r="M41" s="13"/>
      <c r="N41" s="13"/>
      <c r="O41" s="13"/>
    </row>
    <row r="42" spans="1:15" ht="7.2" customHeight="1" thickBot="1" x14ac:dyDescent="0.35">
      <c r="A42" s="16"/>
      <c r="B42" s="92"/>
      <c r="C42" s="192"/>
      <c r="D42" s="192"/>
      <c r="E42" s="192"/>
      <c r="F42" s="193"/>
      <c r="G42" s="70"/>
      <c r="H42" s="1"/>
      <c r="I42" s="33"/>
      <c r="J42" s="33"/>
      <c r="K42" s="13"/>
      <c r="L42" s="6"/>
      <c r="M42" s="13"/>
      <c r="N42" s="13"/>
      <c r="O42" s="13"/>
    </row>
    <row r="43" spans="1:15" ht="14.4" customHeight="1" x14ac:dyDescent="0.35">
      <c r="A43" s="56" t="s">
        <v>59</v>
      </c>
      <c r="B43" s="240"/>
      <c r="C43" s="57"/>
      <c r="D43" s="123" t="s">
        <v>60</v>
      </c>
      <c r="E43" s="123" t="s">
        <v>61</v>
      </c>
      <c r="F43" s="123" t="s">
        <v>62</v>
      </c>
      <c r="G43" s="58"/>
      <c r="K43" s="10"/>
      <c r="L43" s="13"/>
      <c r="M43" s="13"/>
      <c r="N43" s="13"/>
      <c r="O43" s="13"/>
    </row>
    <row r="44" spans="1:15" ht="14.4" customHeight="1" x14ac:dyDescent="0.3">
      <c r="A44" s="399" t="s">
        <v>112</v>
      </c>
      <c r="B44" s="386"/>
      <c r="C44" s="400"/>
      <c r="D44" s="265">
        <f>(IF($C$10&lt;0.2*Lookup!$B$13,0,(('SN5'!$C$10-0.2*Lookup!$B$13)^2/('SN5'!$C$10+0.8*Lookup!$B$13)))*$B$15+IF($C$10&lt;0.2*Lookup!$B$14,0,(('SN5'!$C$10-0.2*Lookup!$B$14)^2/('SN5'!$C$10+0.8*Lookup!$B$14)))*$B$16+IF($C$10&lt;0.2*Lookup!$B$15,0,(('SN5'!$C$10-0.2*Lookup!$B$15)^2/('SN5'!$C$10+0.8*Lookup!$B$15)))*$B$17++IF($C$10&lt;0.2*Lookup!$B$17,0,(('SN5'!$C$10-0.2*Lookup!$B$17)^2/('SN5'!$C$10+0.8*Lookup!$B$17)))*$B$18+IF($C$10&lt;0.2*Lookup!$C$13,0,(('SN5'!$C$10-0.2*Lookup!$C$13)^2/('SN5'!C$10+0.8*Lookup!$C$13)))*$C$15+IF($C$10&lt;0.2*Lookup!$C$14,0,(('SN5'!$C$10-0.2*Lookup!$C$14)^2/('SN5'!$C$10+0.8*Lookup!$C$14)))*$C$16+IF($C$10&lt;0.2*Lookup!$C$15,0,(('SN5'!$C$10-0.2*Lookup!$C$15)^2/('SN5'!$C$10+0.8*Lookup!$C$15)))*$C$17+IF($C$10&lt;0.2*Lookup!$C$17,0,(('SN5'!$C$10-0.2*Lookup!$C$17)^2/('SN5'!$C$10+0.8*Lookup!$C$17)))*$C$18+IF($C$10&lt;0.2*Lookup!$D$13,0,(('SN5'!$C$10-0.2*Lookup!$D$13)^2/('SN5'!$C$10+0.8*Lookup!$D$13)))*$D$15+IF($C$10&lt;0.2*Lookup!$D$14,0,(('SN5'!$C$10-0.2*Lookup!$D$14)^2/('SN5'!$C$10+0.8*Lookup!$D$14)))*$D$16+IF($C$10&lt;0.2*Lookup!$D$15,0,(('SN5'!$C$10-0.2*Lookup!$D$15)^2/('SN5'!$C$10+0.8*Lookup!$D$15)))*$D$17+IF($C$10&lt;0.2*Lookup!$D$17,0,(('SN5'!$C$10-0.2*Lookup!$D$17)^2/('SN5'!$C$10+0.8*Lookup!$D$17)))*$D$18+IF($C$10&lt;0.2*Lookup!$E$13,0,(('SN5'!$C$10-0.2*Lookup!$E$13)^2/('SN5'!$C$10+0.8*Lookup!$E$13)))*$E$15+IF($C$10&lt;0.2*Lookup!$E$14,0,(('SN5'!$C$10-0.2*Lookup!$E$14)^2/('SN5'!$C$10+0.8*Lookup!$E$14)))*$E$16+IF($C$10&lt;0.2*Lookup!$E$15,0,(('SN5'!$C$10-0.2*Lookup!$E$15)^2/('SN5'!$C$10+0.8*Lookup!$E$15)))*$E$17+IF($C$10&lt;0.2*Lookup!$E$17,0,(('SN5'!$C$10-0.2*Lookup!$E$17)^2/('SN5'!$C$10+0.8*Lookup!$E$17)))*$E$18)/12</f>
        <v>0</v>
      </c>
      <c r="E44" s="265">
        <f>(IF($D$10&lt;0.2*Lookup!$B$13,0,(('SN5'!$D$10-0.2*Lookup!$B$13)^2/('SN5'!$D$10+0.8*Lookup!$B$13)))*$B$15+IF($D$10&lt;0.2*Lookup!$B$14,0,(('SN5'!$D$10-0.2*Lookup!$B$14)^2/('SN5'!$D$10+0.8*Lookup!$B$14)))*$B$16+IF($D$10&lt;0.2*Lookup!$B$15,0,(('SN5'!$D$10-0.2*Lookup!$B$15)^2/('SN5'!$D$10+0.8*Lookup!$B$15)))*$B$17++IF($D$10&lt;0.2*Lookup!$B$17,0,(('SN5'!$D$10-0.2*Lookup!$B$17)^2/('SN5'!$D$10+0.8*Lookup!$B$17)))*$B$18+IF($D$10&lt;0.2*Lookup!$C$13,0,(('SN5'!$D$10-0.2*Lookup!$C$13)^2/('SN5'!C$10+0.8*Lookup!$C$13)))*$C$15+IF($D$10&lt;0.2*Lookup!$C$14,0,(('SN5'!$D$10-0.2*Lookup!$C$14)^2/('SN5'!$D$10+0.8*Lookup!$C$14)))*$C$16+IF($D$10&lt;0.2*Lookup!$C$15,0,(('SN5'!$D$10-0.2*Lookup!$C$15)^2/('SN5'!$D$10+0.8*Lookup!$C$15)))*$C$17+IF($D$10&lt;0.2*Lookup!$C$17,0,(('SN5'!$D$10-0.2*Lookup!$C$17)^2/('SN5'!$D$10+0.8*Lookup!$C$17)))*$C$18+IF($D$10&lt;0.2*Lookup!$D$13,0,(('SN5'!$D$10-0.2*Lookup!$D$13)^2/('SN5'!$D$10+0.8*Lookup!$D$13)))*$D$15+IF($D$10&lt;0.2*Lookup!$D$14,0,(('SN5'!$D$10-0.2*Lookup!$D$14)^2/('SN5'!$D$10+0.8*Lookup!$D$14)))*$D$16+IF($D$10&lt;0.2*Lookup!$D$15,0,(('SN5'!$D$10-0.2*Lookup!$D$15)^2/('SN5'!$D$10+0.8*Lookup!$D$15)))*$D$17+IF($D$10&lt;0.2*Lookup!$D$17,0,(('SN5'!$D$10-0.2*Lookup!$D$17)^2/('SN5'!$D$10+0.8*Lookup!$D$17)))*$D$18+IF($D$10&lt;0.2*Lookup!$E$13,0,(('SN5'!$D$10-0.2*Lookup!$E$13)^2/('SN5'!$D$10+0.8*Lookup!$E$13)))*$E$15+IF($D$10&lt;0.2*Lookup!$E$14,0,(('SN5'!$D$10-0.2*Lookup!$E$14)^2/('SN5'!$D$10+0.8*Lookup!$E$14)))*$E$16+IF($D$10&lt;0.2*Lookup!$E$15,0,(('SN5'!$D$10-0.2*Lookup!$E$15)^2/('SN5'!$D$10+0.8*Lookup!$E$15)))*$E$17++IF($D$10&lt;0.2*Lookup!$E$17,0,(('SN5'!$D$10-0.2*Lookup!$E$17)^2/('SN5'!$D$10+0.8*Lookup!$E$17)))*$E$18)/12</f>
        <v>0</v>
      </c>
      <c r="F44" s="265">
        <f>(IF($E$10&lt;0.2*Lookup!$B$13,0,(('SN5'!$E$10-0.2*Lookup!$B$13)^2/('SN5'!$E$10+0.8*Lookup!$B$13)))*$B$15+IF($E$10&lt;0.2*Lookup!$B$14,0,(('SN5'!$E$10-0.2*Lookup!$B$14)^2/('SN5'!$E$10+0.8*Lookup!$B$14)))*$B$16+IF($E$10&lt;0.2*Lookup!$B$15,0,(('SN5'!$E$10-0.2*Lookup!$B$15)^2/('SN5'!$E$10+0.8*Lookup!$B$15)))*$B$17++IF($E$10&lt;0.2*Lookup!$B$17,0,(('SN5'!$E$10-0.2*Lookup!$B$17)^2/('SN5'!$E$10+0.8*Lookup!$B$17)))*$B$18+IF($E$10&lt;0.2*Lookup!$C$13,0,(('SN5'!$E$10-0.2*Lookup!$C$13)^2/('SN5'!C$10+0.8*Lookup!$C$13)))*$C$15+IF($E$10&lt;0.2*Lookup!$C$14,0,(('SN5'!$E$10-0.2*Lookup!$C$14)^2/('SN5'!$E$10+0.8*Lookup!$C$14)))*$C$16+IF($E$10&lt;0.2*Lookup!$C$15,0,(('SN5'!$E$10-0.2*Lookup!$C$15)^2/('SN5'!$E$10+0.8*Lookup!$C$15)))*$C$17+IF($E$10&lt;0.2*Lookup!$C$17,0,(('SN5'!$E$10-0.2*Lookup!$C$17)^2/('SN5'!$E$10+0.8*Lookup!$C$17)))*$C$18+IF($E$10&lt;0.2*Lookup!$D$13,0,(('SN5'!$E$10-0.2*Lookup!$D$13)^2/('SN5'!$E$10+0.8*Lookup!$D$13)))*$D$15+IF($E$10&lt;0.2*Lookup!$D$14,0,(('SN5'!$E$10-0.2*Lookup!$D$14)^2/('SN5'!$E$10+0.8*Lookup!$D$14)))*$D$16+IF($E$10&lt;0.2*Lookup!$D$15,0,(('SN5'!$E$10-0.2*Lookup!$D$15)^2/('SN5'!$E$10+0.8*Lookup!$D$15)))*$D$17+IF($E$10&lt;0.2*Lookup!$D$17,0,(('SN5'!$E$10-0.2*Lookup!$D$17)^2/('SN5'!$E$10+0.8*Lookup!$D$17)))*$D$18+IF($E$10&lt;0.2*Lookup!$E$13,0,(('SN5'!$E$10-0.2*Lookup!$E$13)^2/('SN5'!$E$10+0.8*Lookup!$E$13)))*$E$15+IF($E$10&lt;0.2*Lookup!$E$14,0,(('SN5'!$E$10-0.2*Lookup!$E$14)^2/('SN5'!$E$10+0.8*Lookup!$E$14)))*$E$16+IF($E$10&lt;0.2*Lookup!$E$15,0,(('SN5'!$E$10-0.2*Lookup!$E$15)^2/('SN5'!$E$10+0.8*Lookup!$E$15)))*$E$17++IF($E$10&lt;0.2*Lookup!$E$17,0,(('SN5'!$E$10-0.2*Lookup!$E$17)^2/('SN5'!$E$10+0.8*Lookup!$E$17)))*$E$18)/12</f>
        <v>0</v>
      </c>
      <c r="G44" s="60"/>
      <c r="K44" s="13"/>
      <c r="L44" s="6"/>
      <c r="M44" s="13"/>
      <c r="N44" s="13"/>
      <c r="O44" s="13"/>
    </row>
    <row r="45" spans="1:15" ht="14.4" customHeight="1" x14ac:dyDescent="0.3">
      <c r="A45" s="399" t="s">
        <v>113</v>
      </c>
      <c r="B45" s="386"/>
      <c r="C45" s="400"/>
      <c r="D45" s="265">
        <f>(IF($C$10&lt;0.2*Lookup!$B$13,0,(('SN5'!$C$10-0.2*Lookup!$B$13)^2/('SN5'!$C$10+0.8*Lookup!$B$13)))*$B$24+IF($C$10&lt;0.2*Lookup!$B$14,0,(('SN5'!$C$10-0.2*Lookup!$B$14)^2/('SN5'!$C$10+0.8*Lookup!$B$14)))*$B$25+IF($C$10&lt;0.2*Lookup!$B$15,0,(('SN5'!$C$10-0.2*Lookup!$B$15)^2/('SN5'!$C$10+0.8*Lookup!$B$15)))*$B$26+IF($C$10&lt;0.2*Lookup!$C$13,0,(('SN5'!$C$10-0.2*Lookup!$C$13)^2/('SN5'!C$10+0.8*Lookup!$C$13)))*$C$24+IF($C$10&lt;0.2*Lookup!$C$14,0,(('SN5'!$C$10-0.2*Lookup!$C$14)^2/('SN5'!$C$10+0.8*Lookup!$C$14)))*$C$25+IF($C$10&lt;0.2*Lookup!$C$15,0,(('SN5'!$C$10-0.2*Lookup!$C$15)^2/('SN5'!$C$10+0.8*Lookup!$C$15)))*$C$26+IF($C$10&lt;0.2*Lookup!$D$13,0,(('SN5'!$C$10-0.2*Lookup!$D$13)^2/('SN5'!$C$10+0.8*Lookup!$D$13)))*$D$24+IF($C$10&lt;0.2*Lookup!$D$14,0,(('SN5'!$C$10-0.2*Lookup!$D$14)^2/('SN5'!$C$10+0.8*Lookup!$D$14)))*$D$25+IF($C$10&lt;0.2*Lookup!$D$15,0,(('SN5'!$C$10-0.2*Lookup!$D$15)^2/('SN5'!$C$10+0.8*Lookup!$D$15)))*$D$26+IF($C$10&lt;0.2*Lookup!$E$13,0,(('SN5'!$C$10-0.2*Lookup!$E$13)^2/('SN5'!$C$10+0.8*Lookup!$E$13)))*$E$24+IF($C$10&lt;0.2*Lookup!$E$14,0,(('SN5'!$C$10-0.2*Lookup!$E$14)^2/('SN5'!$C$10+0.8*Lookup!$E$14)))*$E$25+IF($C$10&lt;0.2*Lookup!$E$15,0,(('SN5'!$C$10-0.2*Lookup!$E$15)^2/('SN5'!$C$10+0.8*Lookup!$E$15)))*$E$26+(($C$10-0.2*Lookup!B17)^2/($C$10+0.8*Lookup!B17)*(F27+F28+F29+F30)))/12</f>
        <v>0</v>
      </c>
      <c r="E45" s="265">
        <f>(IF($D$10&lt;0.2*Lookup!$B$13,0,(('SN5'!$D$10-0.2*Lookup!$B$13)^2/('SN5'!$D$10+0.8*Lookup!$B$13)))*$B$24+IF($D$10&lt;0.2*Lookup!$B$14,0,(('SN5'!$D$10-0.2*Lookup!$B$14)^2/('SN5'!$D$10+0.8*Lookup!$B$14)))*$B$25+IF($D$10&lt;0.2*Lookup!$B$15,0,(('SN5'!$D$10-0.2*Lookup!$B$15)^2/('SN5'!$D$10+0.8*Lookup!$B$15)))*$B$26+IF($D$10&lt;0.2*Lookup!$C$13,0,(('SN5'!$D$10-0.2*Lookup!$C$13)^2/('SN5'!C$10+0.8*Lookup!$C$13)))*$C$24+IF($D$10&lt;0.2*Lookup!$C$14,0,(('SN5'!$D$10-0.2*Lookup!$C$14)^2/('SN5'!$D$10+0.8*Lookup!$C$14)))*$C$25+IF($D$10&lt;0.2*Lookup!$C$15,0,(('SN5'!$D$10-0.2*Lookup!$C$15)^2/('SN5'!$D$10+0.8*Lookup!$C$15)))*$C$26+IF($D$10&lt;0.2*Lookup!$D$13,0,(('SN5'!$D$10-0.2*Lookup!$D$13)^2/('SN5'!$D$10+0.8*Lookup!$D$13)))*$D$24+IF($D$10&lt;0.2*Lookup!$D$14,0,(('SN5'!$D$10-0.2*Lookup!$D$14)^2/('SN5'!$D$10+0.8*Lookup!$D$14)))*$D$25+IF($D$10&lt;0.2*Lookup!$D$15,0,(('SN5'!$D$10-0.2*Lookup!$D$15)^2/('SN5'!$D$10+0.8*Lookup!$D$15)))*$D$26+IF($D$10&lt;0.2*Lookup!$E$13,0,(('SN5'!$D$10-0.2*Lookup!$E$13)^2/('SN5'!$D$10+0.8*Lookup!$E$13)))*$E$24+IF($D$10&lt;0.2*Lookup!$E$14,0,(('SN5'!$D$10-0.2*Lookup!$E$14)^2/('SN5'!$D$10+0.8*Lookup!$E$14)))*$E$25+IF($D$10&lt;0.2*Lookup!$E$15,0,(('SN5'!$D$10-0.2*Lookup!$E$15)^2/('SN5'!$D$10+0.8*Lookup!$E$15)))*$E$26+(($D$10-0.2*Lookup!B17)^2/($D$10+0.8*Lookup!B17)*(F27+F28+F29+F30)))/12</f>
        <v>0</v>
      </c>
      <c r="F45" s="265">
        <f>(IF($E$10&lt;0.2*Lookup!$B$13,0,(('SN5'!$E$10-0.2*Lookup!$B$13)^2/('SN5'!$E$10+0.8*Lookup!$B$13)))*$B$24+IF($E$10&lt;0.2*Lookup!$B$14,0,(('SN5'!$E$10-0.2*Lookup!$B$14)^2/('SN5'!$E$10+0.8*Lookup!$B$14)))*$B$25+IF($E$10&lt;0.2*Lookup!$B$15,0,(('SN5'!$E$10-0.2*Lookup!$B$15)^2/('SN5'!$E$10+0.8*Lookup!$B$15)))*$B$26+IF($E$10&lt;0.2*Lookup!$C$13,0,(('SN5'!$E$10-0.2*Lookup!$C$13)^2/('SN5'!C$10+0.8*Lookup!$C$13)))*$C$24+IF($E$10&lt;0.2*Lookup!$C$14,0,(('SN5'!$E$10-0.2*Lookup!$C$14)^2/('SN5'!$E$10+0.8*Lookup!$C$14)))*$C$25+IF($E$10&lt;0.2*Lookup!$C$15,0,(('SN5'!$E$10-0.2*Lookup!$C$15)^2/('SN5'!$E$10+0.8*Lookup!$C$15)))*$C$26+IF($E$10&lt;0.2*Lookup!$D$13,0,(('SN5'!$E$10-0.2*Lookup!$D$13)^2/('SN5'!$E$10+0.8*Lookup!$D$13)))*$D$24+IF($E$10&lt;0.2*Lookup!$D$14,0,(('SN5'!$E$10-0.2*Lookup!$D$14)^2/('SN5'!$E$10+0.8*Lookup!$D$14)))*$D$25+IF($E$10&lt;0.2*Lookup!$D$15,0,(('SN5'!$E$10-0.2*Lookup!$D$15)^2/('SN5'!$E$10+0.8*Lookup!$D$15)))*$D$26+IF($E$10&lt;0.2*Lookup!$E$13,0,(('SN5'!$E$10-0.2*Lookup!$E$13)^2/('SN5'!$E$10+0.8*Lookup!$E$13)))*$E$24+IF($E$10&lt;0.2*Lookup!$E$14,0,(('SN5'!$E$10-0.2*Lookup!$E$14)^2/('SN5'!$E$10+0.8*Lookup!$E$14)))*$E$25+IF($E$10&lt;0.2*Lookup!$E$15,0,(('SN5'!$E$10-0.2*Lookup!$E$15)^2/('SN5'!$E$10+0.8*Lookup!$E$15)))*$E$26+(($E$10-0.2*Lookup!B17)^2/($E$10+0.8*Lookup!B17)*(F27+F28+F29+F30)))/12</f>
        <v>0</v>
      </c>
      <c r="G45" s="60"/>
      <c r="K45" s="13"/>
      <c r="L45" s="6"/>
      <c r="M45" s="13"/>
      <c r="N45" s="13"/>
      <c r="O45" s="13"/>
    </row>
    <row r="46" spans="1:15" ht="15.6" customHeight="1" thickBot="1" x14ac:dyDescent="0.35">
      <c r="A46" s="16"/>
      <c r="B46" s="89"/>
      <c r="C46" s="92"/>
      <c r="D46" s="93"/>
      <c r="E46" s="89"/>
      <c r="F46" s="89"/>
      <c r="G46" s="70"/>
      <c r="K46" s="13"/>
      <c r="L46" s="6"/>
      <c r="M46" s="13"/>
      <c r="N46" s="13"/>
      <c r="O46" s="13"/>
    </row>
    <row r="47" spans="1:15" ht="15.6" x14ac:dyDescent="0.3">
      <c r="A47" s="56" t="s">
        <v>64</v>
      </c>
      <c r="B47" s="85"/>
      <c r="C47" s="86"/>
      <c r="D47" s="87"/>
      <c r="E47" s="85"/>
      <c r="F47" s="85"/>
      <c r="G47" s="58"/>
      <c r="K47" s="13"/>
      <c r="L47" s="6"/>
      <c r="M47" s="13"/>
      <c r="N47" s="13"/>
      <c r="O47" s="13"/>
    </row>
    <row r="48" spans="1:15" ht="44.4" customHeight="1" x14ac:dyDescent="0.3">
      <c r="A48" s="394" t="s">
        <v>214</v>
      </c>
      <c r="B48" s="395"/>
      <c r="C48" s="395"/>
      <c r="D48" s="395"/>
      <c r="E48" s="395"/>
      <c r="F48" s="395"/>
      <c r="G48" s="396"/>
      <c r="K48" s="13"/>
      <c r="L48" s="6"/>
      <c r="M48" s="13"/>
      <c r="N48" s="13"/>
      <c r="O48" s="13"/>
    </row>
    <row r="49" spans="1:15" ht="15.6" x14ac:dyDescent="0.35">
      <c r="A49" s="88" t="s">
        <v>71</v>
      </c>
      <c r="B49" s="117" t="s">
        <v>166</v>
      </c>
      <c r="C49" s="409" t="s">
        <v>71</v>
      </c>
      <c r="D49" s="410"/>
      <c r="E49" s="42" t="s">
        <v>166</v>
      </c>
      <c r="F49" s="19"/>
      <c r="G49" s="60"/>
      <c r="K49" s="13"/>
      <c r="L49" s="6"/>
      <c r="M49" s="13"/>
      <c r="N49" s="13"/>
      <c r="O49" s="13"/>
    </row>
    <row r="50" spans="1:15" x14ac:dyDescent="0.3">
      <c r="A50" s="195"/>
      <c r="B50" s="172"/>
      <c r="C50" s="351"/>
      <c r="D50" s="352"/>
      <c r="E50" s="173"/>
      <c r="F50" s="13"/>
      <c r="G50" s="60"/>
      <c r="I50" s="113"/>
      <c r="J50" s="113"/>
      <c r="K50" s="113"/>
      <c r="L50" s="6"/>
      <c r="M50" s="13"/>
      <c r="N50" s="13"/>
      <c r="O50" s="13"/>
    </row>
    <row r="51" spans="1:15" x14ac:dyDescent="0.3">
      <c r="A51" s="195"/>
      <c r="B51" s="172"/>
      <c r="C51" s="351"/>
      <c r="D51" s="352"/>
      <c r="E51" s="173"/>
      <c r="F51" s="13"/>
      <c r="G51" s="60"/>
      <c r="I51" s="113"/>
      <c r="J51" s="113"/>
      <c r="K51" s="113"/>
      <c r="L51" s="6"/>
      <c r="M51" s="13"/>
      <c r="N51" s="13"/>
      <c r="O51" s="13"/>
    </row>
    <row r="52" spans="1:15" x14ac:dyDescent="0.3">
      <c r="A52" s="195"/>
      <c r="B52" s="172"/>
      <c r="C52" s="351"/>
      <c r="D52" s="352"/>
      <c r="E52" s="173"/>
      <c r="F52" s="13"/>
      <c r="G52" s="60"/>
      <c r="I52" s="113"/>
      <c r="J52" s="113"/>
      <c r="K52" s="113"/>
      <c r="L52" s="6"/>
      <c r="M52" s="13"/>
      <c r="N52" s="13"/>
      <c r="O52" s="13"/>
    </row>
    <row r="53" spans="1:15" x14ac:dyDescent="0.3">
      <c r="A53" s="195"/>
      <c r="B53" s="172"/>
      <c r="C53" s="351"/>
      <c r="D53" s="352"/>
      <c r="E53" s="173"/>
      <c r="F53" s="19"/>
      <c r="G53" s="60"/>
      <c r="K53" s="13"/>
      <c r="L53" s="6"/>
      <c r="M53" s="13"/>
      <c r="N53" s="13"/>
      <c r="O53" s="13"/>
    </row>
    <row r="54" spans="1:15" x14ac:dyDescent="0.3">
      <c r="A54" s="195"/>
      <c r="B54" s="172"/>
      <c r="C54" s="351"/>
      <c r="D54" s="352"/>
      <c r="E54" s="173"/>
      <c r="F54" s="19"/>
      <c r="G54" s="60"/>
      <c r="K54" s="13"/>
      <c r="L54" s="6"/>
      <c r="M54" s="13"/>
      <c r="N54" s="13"/>
      <c r="O54" s="13"/>
    </row>
    <row r="55" spans="1:15" ht="13.8" customHeight="1" thickBot="1" x14ac:dyDescent="0.35">
      <c r="A55" s="16"/>
      <c r="B55" s="89"/>
      <c r="C55" s="90"/>
      <c r="D55" s="90"/>
      <c r="E55" s="89"/>
      <c r="F55" s="89"/>
      <c r="G55" s="70"/>
      <c r="K55" s="13"/>
      <c r="L55" s="6"/>
      <c r="M55" s="13"/>
      <c r="N55" s="13"/>
      <c r="O55" s="13"/>
    </row>
    <row r="56" spans="1:15" ht="15.6" x14ac:dyDescent="0.3">
      <c r="A56" s="77" t="s">
        <v>109</v>
      </c>
      <c r="B56" s="78"/>
      <c r="C56" s="78"/>
      <c r="D56" s="79"/>
      <c r="E56" s="79"/>
      <c r="F56" s="79"/>
      <c r="G56" s="58"/>
      <c r="K56" s="13"/>
      <c r="L56" s="6"/>
      <c r="M56" s="13"/>
      <c r="N56" s="13"/>
      <c r="O56" s="13"/>
    </row>
    <row r="57" spans="1:15" ht="15.6" x14ac:dyDescent="0.3">
      <c r="A57" s="80" t="s">
        <v>33</v>
      </c>
      <c r="B57" s="47" t="s">
        <v>73</v>
      </c>
      <c r="C57" s="47" t="s">
        <v>74</v>
      </c>
      <c r="D57" s="48" t="s">
        <v>75</v>
      </c>
      <c r="E57" s="48" t="s">
        <v>120</v>
      </c>
      <c r="F57" s="48" t="s">
        <v>121</v>
      </c>
      <c r="G57" s="60"/>
      <c r="K57" s="13"/>
      <c r="L57" s="6"/>
      <c r="M57" s="13"/>
      <c r="N57" s="13"/>
      <c r="O57" s="13"/>
    </row>
    <row r="58" spans="1:15" ht="15.6" x14ac:dyDescent="0.3">
      <c r="A58" s="61" t="s">
        <v>118</v>
      </c>
      <c r="B58" s="266">
        <f>B69</f>
        <v>0</v>
      </c>
      <c r="C58" s="267">
        <f>B77</f>
        <v>0</v>
      </c>
      <c r="D58" s="266">
        <f>D45-D44+(C10-0.2*Lookup!$B$17)^2/(C10+0.8*Lookup!$B$17)*$F$28/12-IF(C10-0.2*Lookup!$B$15&lt;0,0,(C10-0.2*Lookup!$B$15)^2/(C10+0.8*Lookup!$B$15))*$B$28/12-IF(C10-0.2*Lookup!$C$15&lt;0,0,(C10-0.2*Lookup!$C$15)^2/(C10+0.8*Lookup!$C$15))*$C$28/12-IF(C10-0.2*Lookup!$D$15&lt;0,0,(C10-0.2*Lookup!$D$15)^2/(C10+0.8*Lookup!$D$15))*$D$28/12-IF(C10-0.2*Lookup!$E$15&lt;0,0,(C10-0.2*Lookup!$E$15)^2/(C10+0.8*Lookup!$E$15)*$E$28)/12</f>
        <v>0</v>
      </c>
      <c r="E58" s="266">
        <f>E45-E44+(D10-0.2*Lookup!$B$17)^2/(D10+0.8*Lookup!$B$17)*$F$28/12-IF(D10-0.2*Lookup!$B$15&lt;0,0,(D10-0.2*Lookup!$B$15)^2/(D10+0.8*Lookup!$B$15))*$B$28/12-IF(D10-0.2*Lookup!$C$15&lt;0,0,(D10-0.2*Lookup!$C$15)^2/(D10+0.8*Lookup!$C$15))*$C$28/12-IF(D10-0.2*Lookup!$D$15&lt;0,0,(D10-0.2*Lookup!$D$15)^2/(D10+0.8*Lookup!$D$15))*$D$28/12-IF(D10-0.2*Lookup!$E$15&lt;0,0,(D10-0.2*Lookup!$E$15)^2/(D10+0.8*Lookup!$E$15)*$E$28)/12</f>
        <v>0</v>
      </c>
      <c r="F58" s="266">
        <f>F45-F44+(E10-0.2*Lookup!$B$17)^2/(E10+0.8*Lookup!$B$17)*$F$28/12-IF(E10-0.2*Lookup!$B$15&lt;0,0,(E10-0.2*Lookup!$B$15)^2/(E10+0.8*Lookup!$B$15))*$B$28/12-IF(E10-0.2*Lookup!$C$15&lt;0,0,(E10-0.2*Lookup!$C$15)^2/(E10+0.8*Lookup!$C$15))*$C$28/12-IF(E10-0.2*Lookup!$D$15&lt;0,0,(E10-0.2*Lookup!$D$15)^2/(E10+0.8*Lookup!$D$15))*$D$28/12-IF(E10-0.2*Lookup!$E$15&lt;0,0,(E10-0.2*Lookup!$E$15)^2/(E10+0.8*Lookup!$E$15)*$E$28)/12</f>
        <v>0</v>
      </c>
      <c r="G58" s="60"/>
      <c r="K58" s="13"/>
      <c r="L58" s="13"/>
      <c r="M58" s="13"/>
      <c r="N58" s="13"/>
      <c r="O58" s="13"/>
    </row>
    <row r="59" spans="1:15" ht="15.6" x14ac:dyDescent="0.3">
      <c r="A59" s="61" t="s">
        <v>72</v>
      </c>
      <c r="B59" s="268">
        <f ca="1">SUM($B$50:$B$54,$E$50:$E$54)-(SUMIF(A50:A54,"Green Roofs",B50:B54)+SUMIF(C50:D54,"Green Roofs",E50:E54))</f>
        <v>0</v>
      </c>
      <c r="C59" s="268">
        <f ca="1">SUM($B$50:$B$54,$E$50:$E$54)-(SUMIF(A50:A54,"Green Roofs",B50:B54)+SUMIF(C50:D54,"Green Roofs",E50:E54))</f>
        <v>0</v>
      </c>
      <c r="D59" s="268">
        <f>SUM($B$50:$B$54,$E$50:$E$54)</f>
        <v>0</v>
      </c>
      <c r="E59" s="268">
        <f t="shared" ref="E59:F59" si="1">SUM($B$50:$B$54,$E$50:$E$54)</f>
        <v>0</v>
      </c>
      <c r="F59" s="268">
        <f t="shared" si="1"/>
        <v>0</v>
      </c>
      <c r="G59" s="60"/>
      <c r="K59" s="24"/>
      <c r="L59" s="13"/>
      <c r="M59" s="13"/>
      <c r="N59" s="13"/>
      <c r="O59" s="13"/>
    </row>
    <row r="60" spans="1:15" ht="15.6" x14ac:dyDescent="0.3">
      <c r="A60" s="81" t="s">
        <v>119</v>
      </c>
      <c r="B60" s="268">
        <f ca="1">IF((B58-B59)&gt;0,B58-B59,0)</f>
        <v>0</v>
      </c>
      <c r="C60" s="268">
        <f ca="1">IF((C58-C59)&gt;0,C58-C59,0)</f>
        <v>0</v>
      </c>
      <c r="D60" s="268">
        <f>IF((D58-D59)&gt;0,D58-D59,0)</f>
        <v>0</v>
      </c>
      <c r="E60" s="268">
        <f>IF((E58-E59)&gt;0,E58-E59,0)</f>
        <v>0</v>
      </c>
      <c r="F60" s="268">
        <f>IF((F58-F59)&gt;0,F58-F59,0)</f>
        <v>0</v>
      </c>
      <c r="G60" s="60"/>
      <c r="K60" s="13"/>
      <c r="L60" s="13"/>
      <c r="M60" s="13"/>
      <c r="N60" s="13"/>
      <c r="O60" s="13"/>
    </row>
    <row r="61" spans="1:15" x14ac:dyDescent="0.3">
      <c r="A61" s="59" t="s">
        <v>44</v>
      </c>
      <c r="B61" s="27" t="str">
        <f>IF(B58=0,"n/a",IF(ROUND(B60,4)=0,"Yes","No"))</f>
        <v>n/a</v>
      </c>
      <c r="C61" s="27" t="str">
        <f ca="1">IF(ROUND(C60,4)=0,"Yes", "No")</f>
        <v>Yes</v>
      </c>
      <c r="D61" s="27" t="str">
        <f>IF(ROUND(D60,4)=0,"Yes", "No")</f>
        <v>Yes</v>
      </c>
      <c r="E61" s="27" t="str">
        <f>IF(ROUND(E60,4)=0,"Yes", "No")</f>
        <v>Yes</v>
      </c>
      <c r="F61" s="27" t="str">
        <f>IF(ROUND(F60,4)=0,"Yes", "No")</f>
        <v>Yes</v>
      </c>
      <c r="G61" s="60"/>
      <c r="H61" s="43"/>
      <c r="K61" s="13"/>
      <c r="L61" s="13"/>
      <c r="M61" s="13"/>
      <c r="N61" s="13"/>
      <c r="O61" s="13"/>
    </row>
    <row r="62" spans="1:15" x14ac:dyDescent="0.3">
      <c r="A62" s="59"/>
      <c r="B62" s="25"/>
      <c r="C62" s="25"/>
      <c r="D62" s="25"/>
      <c r="E62" s="25"/>
      <c r="F62" s="25"/>
      <c r="G62" s="60"/>
      <c r="K62" s="13"/>
      <c r="L62" s="13"/>
      <c r="M62" s="13"/>
      <c r="N62" s="13"/>
      <c r="O62" s="13"/>
    </row>
    <row r="63" spans="1:15" ht="15.6" x14ac:dyDescent="0.3">
      <c r="A63" s="110" t="s">
        <v>43</v>
      </c>
      <c r="B63" s="29" t="s">
        <v>34</v>
      </c>
      <c r="C63" s="28" t="str">
        <f>IF(F32=0,"n/a",200/((2+B10+C58*(24/F32))-(5*B10*C58*(12/F32)+4*(C58*(12/F32))^2)^(1/2)))</f>
        <v>n/a</v>
      </c>
      <c r="D63" s="28" t="str">
        <f>IF(F32=0,"n/a",200/((2+C10+D45*(24/F32))-(5*C10*D45*(12/F32)+4*(D45*(12/F32))^2)^(1/2)))</f>
        <v>n/a</v>
      </c>
      <c r="E63" s="28" t="str">
        <f>IF(F32=0,"n/a",200/((2+D10+E45*(24/F32))-(5*D10*E45*(12/F32)+4*(E45*(12/F32))^2)^(1/2)))</f>
        <v>n/a</v>
      </c>
      <c r="F63" s="28" t="str">
        <f>IF(F32=0,"n/a",200/((2+E10+F45*(24/F32))-(5*E10*F45*(12/F32)+4*(F45*(12/F32))^2)^(1/2)))</f>
        <v>n/a</v>
      </c>
      <c r="G63" s="60"/>
      <c r="K63" s="24"/>
      <c r="L63" s="13"/>
      <c r="M63" s="13"/>
      <c r="N63" s="13"/>
      <c r="O63" s="13"/>
    </row>
    <row r="64" spans="1:15" ht="16.2" x14ac:dyDescent="0.35">
      <c r="A64" s="111" t="s">
        <v>42</v>
      </c>
      <c r="B64" s="30" t="s">
        <v>34</v>
      </c>
      <c r="C64" s="26" t="str">
        <f>IF(F32=0,"n/a",IF(B59&gt;C58,"n/a",200/(2+B10+((C58-$B$59)*24/F32)-SQRT(5*B10*(C58-$B$59)*12/F32+4*((C58-$B$59)*12/F32)^2))))</f>
        <v>n/a</v>
      </c>
      <c r="D64" s="26" t="str">
        <f>IF(F32=0,"n/a",IF(D59&gt;D45,0,200/(2+C10+((D45-$B$59)*24/F32)-SQRT(5*C10*(D45-$B$59)*12/F32+4*((D45-$B$59)*12/F32)^2))))</f>
        <v>n/a</v>
      </c>
      <c r="E64" s="26" t="str">
        <f>IF(F32=0,"n/a",IF(E59&gt;E45,0,200/(2+D10+((E45-$B$59)*24/F32)-SQRT(5*D10*(E45-$B$59)*12/F32+4*((E45-$B$59)*12/F32)^2))))</f>
        <v>n/a</v>
      </c>
      <c r="F64" s="26" t="str">
        <f>IF(F32=0,"n/a",IF(F59&gt;F45,0,200/(2+E10+((F45-$B$59)*24/F32)-SQRT(5*E10*(F45-$B$59)*12/F32+4*((F45-$B$59)*12/F32)^2))))</f>
        <v>n/a</v>
      </c>
      <c r="G64" s="60"/>
      <c r="K64" s="24"/>
      <c r="L64" s="6"/>
      <c r="M64" s="13"/>
      <c r="N64" s="13"/>
      <c r="O64" s="13"/>
    </row>
    <row r="65" spans="1:15" ht="15.6" x14ac:dyDescent="0.3">
      <c r="A65" s="112" t="s">
        <v>36</v>
      </c>
      <c r="B65" s="82" t="s">
        <v>34</v>
      </c>
      <c r="C65" s="83" t="s">
        <v>34</v>
      </c>
      <c r="D65" s="84" t="str">
        <f>IF(F20-F19=0,"n/a",200/(C10+2*D44*12/(F20-F19)+2-SQRT(5*C10*D44*12/(F20-F19)+4*(D44*12/(F20-F19))^2)))</f>
        <v>n/a</v>
      </c>
      <c r="E65" s="84" t="str">
        <f>IF((F20-F19)=0,"n/a",200/(D10+2*E44*12/(F20-F19)+2-SQRT(5*D10*E44*12/(F20-F19)+4*(E44*12/(F20-F19))^2)))</f>
        <v>n/a</v>
      </c>
      <c r="F65" s="84" t="str">
        <f>IF((F20-F19)=0,"n/a",200/(E10+2*F44*12/(F20-F19)+2-SQRT(5*E10*F44*12/(F20-F19)+4*(F44*12/(F20-F19))^2)))</f>
        <v>n/a</v>
      </c>
      <c r="G65" s="60"/>
      <c r="K65" s="24"/>
      <c r="L65" s="6"/>
      <c r="M65" s="13"/>
      <c r="N65" s="13"/>
      <c r="O65" s="13"/>
    </row>
    <row r="66" spans="1:15" ht="16.2" thickBot="1" x14ac:dyDescent="0.35">
      <c r="A66" s="16"/>
      <c r="B66" s="17"/>
      <c r="C66" s="17"/>
      <c r="D66" s="17"/>
      <c r="E66" s="17"/>
      <c r="F66" s="17"/>
      <c r="G66" s="70"/>
      <c r="K66" s="24"/>
      <c r="L66" s="13"/>
      <c r="M66" s="13"/>
      <c r="N66" s="13"/>
      <c r="O66" s="13"/>
    </row>
    <row r="67" spans="1:15" ht="15.6" x14ac:dyDescent="0.3">
      <c r="A67" s="56" t="s">
        <v>76</v>
      </c>
      <c r="B67" s="57"/>
      <c r="C67" s="57"/>
      <c r="D67" s="57"/>
      <c r="E67" s="57"/>
      <c r="F67" s="178">
        <v>1</v>
      </c>
      <c r="G67" s="58"/>
      <c r="K67" s="24"/>
      <c r="L67" s="6"/>
      <c r="M67" s="13"/>
      <c r="N67" s="13"/>
      <c r="O67" s="13"/>
    </row>
    <row r="68" spans="1:15" ht="30.6" customHeight="1" x14ac:dyDescent="0.3">
      <c r="A68" s="59" t="s">
        <v>77</v>
      </c>
      <c r="B68" s="174"/>
      <c r="C68" s="386" t="str">
        <f>IF(F67=1,"","Reason recharge not required (if No is selected):")</f>
        <v/>
      </c>
      <c r="D68" s="386"/>
      <c r="E68" s="387"/>
      <c r="F68" s="387"/>
      <c r="G68" s="60"/>
      <c r="K68" s="24"/>
      <c r="L68" s="6"/>
      <c r="M68" s="13"/>
      <c r="N68" s="13"/>
      <c r="O68" s="13"/>
    </row>
    <row r="69" spans="1:15" ht="15.6" x14ac:dyDescent="0.3">
      <c r="A69" s="59" t="s">
        <v>117</v>
      </c>
      <c r="B69" s="265">
        <f>((B27+B28)*Lookup!B21+(C27+C28)*Lookup!C21+(D27+D28)*Lookup!D21+(E27+E28)*Lookup!E21*(F27+F28))/12</f>
        <v>0</v>
      </c>
      <c r="C69" s="301"/>
      <c r="D69" s="301"/>
      <c r="E69" s="182"/>
      <c r="F69" s="182"/>
      <c r="G69" s="60"/>
      <c r="K69" s="24"/>
      <c r="L69" s="6"/>
      <c r="M69" s="13"/>
      <c r="N69" s="13"/>
      <c r="O69" s="13"/>
    </row>
    <row r="70" spans="1:15" ht="42.6" customHeight="1" x14ac:dyDescent="0.3">
      <c r="A70" s="302" t="s">
        <v>110</v>
      </c>
      <c r="B70" s="27" t="str">
        <f>B61</f>
        <v>n/a</v>
      </c>
      <c r="C70" s="388" t="str">
        <f>IF(B70="No",IF(F67=1,"NOTE: Treatment provided is insufficient to meet the recharge standard within this drainage area.  Add more infiltrating practices unless recharge is being met site-wide. (check summary tab)","Standard not applicable."),"")</f>
        <v/>
      </c>
      <c r="D70" s="389"/>
      <c r="E70" s="389"/>
      <c r="F70" s="389"/>
      <c r="G70" s="390"/>
      <c r="K70" s="24"/>
      <c r="L70" s="13"/>
      <c r="M70" s="13"/>
      <c r="N70" s="13"/>
      <c r="O70" s="13"/>
    </row>
    <row r="71" spans="1:15" ht="101.4" customHeight="1" thickBot="1" x14ac:dyDescent="0.35">
      <c r="A71" s="222" t="s">
        <v>167</v>
      </c>
      <c r="B71" s="412"/>
      <c r="C71" s="412"/>
      <c r="D71" s="412"/>
      <c r="E71" s="412"/>
      <c r="F71" s="412"/>
      <c r="G71" s="413"/>
      <c r="K71" s="24"/>
      <c r="L71" s="6"/>
      <c r="M71" s="13"/>
      <c r="N71" s="13"/>
      <c r="O71" s="13"/>
    </row>
    <row r="72" spans="1:15" ht="75" customHeight="1" thickBot="1" x14ac:dyDescent="0.35">
      <c r="A72" s="269"/>
      <c r="B72" s="270"/>
      <c r="C72" s="270"/>
      <c r="D72" s="270"/>
      <c r="E72" s="270"/>
      <c r="F72" s="270"/>
      <c r="G72" s="270"/>
      <c r="K72" s="24"/>
      <c r="L72" s="6"/>
      <c r="M72" s="13"/>
      <c r="N72" s="13"/>
      <c r="O72" s="13"/>
    </row>
    <row r="73" spans="1:15" ht="15.6" x14ac:dyDescent="0.3">
      <c r="A73" s="56" t="s">
        <v>95</v>
      </c>
      <c r="B73" s="57"/>
      <c r="C73" s="57"/>
      <c r="D73" s="57"/>
      <c r="E73" s="178">
        <v>1</v>
      </c>
      <c r="F73" s="178">
        <v>1</v>
      </c>
      <c r="G73" s="58"/>
      <c r="K73" s="24"/>
      <c r="L73" s="6"/>
      <c r="M73" s="13"/>
      <c r="N73" s="13"/>
      <c r="O73" s="13"/>
    </row>
    <row r="74" spans="1:15" ht="15" customHeight="1" x14ac:dyDescent="0.3">
      <c r="A74" s="91"/>
      <c r="B74" s="7" t="s">
        <v>233</v>
      </c>
      <c r="C74" s="13"/>
      <c r="D74" s="13"/>
      <c r="E74" s="13"/>
      <c r="F74" s="7" t="s">
        <v>236</v>
      </c>
      <c r="G74" s="60"/>
      <c r="K74" s="24"/>
      <c r="L74" s="6"/>
      <c r="M74" s="13"/>
      <c r="N74" s="13"/>
      <c r="O74" s="13"/>
    </row>
    <row r="75" spans="1:15" ht="16.2" x14ac:dyDescent="0.35">
      <c r="A75" s="67" t="s">
        <v>221</v>
      </c>
      <c r="B75" s="265">
        <f>IF(F27+F28=0,0,(0.05+0.9*(G27+G28))*1*F32/12)</f>
        <v>0</v>
      </c>
      <c r="C75" s="373" t="s">
        <v>235</v>
      </c>
      <c r="D75" s="374"/>
      <c r="E75" s="75">
        <f>G35</f>
        <v>0</v>
      </c>
      <c r="G75" s="60"/>
      <c r="K75" s="24"/>
      <c r="L75" s="6"/>
      <c r="M75" s="13"/>
      <c r="N75" s="13"/>
      <c r="O75" s="13"/>
    </row>
    <row r="76" spans="1:15" ht="30" customHeight="1" x14ac:dyDescent="0.3">
      <c r="A76" s="61" t="s">
        <v>222</v>
      </c>
      <c r="B76" s="265">
        <f>IF(F30=0,0,IF(F73=2,IF(E76&gt;25%,0,(0.05+0.9*G30)*1*F32/12*(50%-2*E76)),(0.05+0.9*G30)*1*F32/12*0.5))</f>
        <v>0</v>
      </c>
      <c r="C76" s="375" t="s">
        <v>234</v>
      </c>
      <c r="D76" s="376"/>
      <c r="E76" s="225">
        <f>G36</f>
        <v>0</v>
      </c>
      <c r="G76" s="226" t="str">
        <f>IF(E76="n/a","",IF(E76&gt;25%,"Max 25% applied",""))</f>
        <v/>
      </c>
      <c r="K76" s="24"/>
      <c r="L76" s="13"/>
      <c r="M76" s="13"/>
      <c r="N76" s="13"/>
      <c r="O76" s="13"/>
    </row>
    <row r="77" spans="1:15" ht="15" customHeight="1" x14ac:dyDescent="0.3">
      <c r="A77" s="59" t="s">
        <v>111</v>
      </c>
      <c r="B77" s="265">
        <f>IF(E73=2,IF(E75&lt;5%,B75+B76,(B75+B76)*(100%-E75)),B75+B76)</f>
        <v>0</v>
      </c>
      <c r="C77" s="377" t="str">
        <f>IF(E73+F73=4,"ERROR! Net Reduction and Redevelopment cannot both apply","")</f>
        <v/>
      </c>
      <c r="D77" s="378"/>
      <c r="E77" s="378"/>
      <c r="F77" s="378"/>
      <c r="G77" s="379"/>
      <c r="K77" s="24"/>
      <c r="L77" s="13"/>
      <c r="M77" s="13"/>
      <c r="N77" s="13"/>
      <c r="O77" s="13"/>
    </row>
    <row r="78" spans="1:15" ht="30" x14ac:dyDescent="0.3">
      <c r="A78" s="302" t="s">
        <v>204</v>
      </c>
      <c r="B78" s="306">
        <f ca="1">IF(C59&gt;C58,C58,C59)</f>
        <v>0</v>
      </c>
      <c r="C78" s="63"/>
      <c r="D78" s="371" t="s">
        <v>209</v>
      </c>
      <c r="E78" s="371"/>
      <c r="F78" s="185"/>
      <c r="G78" s="186">
        <v>1</v>
      </c>
      <c r="K78" s="24"/>
      <c r="L78" s="13"/>
      <c r="M78" s="13"/>
      <c r="N78" s="13"/>
      <c r="O78" s="13"/>
    </row>
    <row r="79" spans="1:15" ht="30.6" customHeight="1" x14ac:dyDescent="0.3">
      <c r="A79" s="224" t="s">
        <v>149</v>
      </c>
      <c r="B79" s="306">
        <f ca="1">IF(G78=2,"N/A",IF(B77-B78&lt;0,0,B77-B78))</f>
        <v>0</v>
      </c>
      <c r="C79" s="63"/>
      <c r="D79" s="223"/>
      <c r="E79" s="223"/>
      <c r="F79" s="13"/>
      <c r="G79" s="64"/>
      <c r="K79" s="24"/>
      <c r="L79" s="13"/>
      <c r="M79" s="13"/>
      <c r="N79" s="13"/>
      <c r="O79" s="13"/>
    </row>
    <row r="80" spans="1:15" ht="10.8" customHeight="1" x14ac:dyDescent="0.3">
      <c r="A80" s="302"/>
      <c r="B80" s="13"/>
      <c r="C80" s="63"/>
      <c r="D80" s="13"/>
      <c r="E80" s="13"/>
      <c r="F80" s="13"/>
      <c r="G80" s="60"/>
      <c r="K80" s="13"/>
      <c r="L80" s="6"/>
      <c r="M80" s="13"/>
      <c r="N80" s="13"/>
      <c r="O80" s="13"/>
    </row>
    <row r="81" spans="1:15" ht="28.8" customHeight="1" x14ac:dyDescent="0.3">
      <c r="A81" s="401" t="str">
        <f>IF(B82="","","NOTE: Please include a copy of the appropriate STP worksheet(s) with the application.")</f>
        <v/>
      </c>
      <c r="B81" s="391" t="s">
        <v>160</v>
      </c>
      <c r="C81" s="392"/>
      <c r="D81" s="393"/>
      <c r="E81" s="297" t="s">
        <v>147</v>
      </c>
      <c r="F81" s="303" t="s">
        <v>138</v>
      </c>
      <c r="G81" s="60"/>
      <c r="K81" s="13"/>
      <c r="L81" s="6"/>
      <c r="M81" s="13"/>
      <c r="N81" s="13"/>
      <c r="O81" s="13"/>
    </row>
    <row r="82" spans="1:15" x14ac:dyDescent="0.3">
      <c r="A82" s="401"/>
      <c r="B82" s="372"/>
      <c r="C82" s="372"/>
      <c r="D82" s="372"/>
      <c r="E82" s="305"/>
      <c r="F82" s="108" t="str">
        <f>IF(B82="","",VLOOKUP(B82,Lookup!$H$13:$I$19,2,FALSE))</f>
        <v/>
      </c>
      <c r="G82" s="60"/>
    </row>
    <row r="83" spans="1:15" x14ac:dyDescent="0.3">
      <c r="A83" s="401"/>
      <c r="B83" s="372"/>
      <c r="C83" s="372"/>
      <c r="D83" s="372"/>
      <c r="E83" s="305"/>
      <c r="F83" s="108" t="str">
        <f>IF(B83="","",VLOOKUP(B83,Lookup!$H$13:$I$19,2,FALSE))</f>
        <v/>
      </c>
      <c r="G83" s="60"/>
    </row>
    <row r="84" spans="1:15" x14ac:dyDescent="0.3">
      <c r="A84" s="401"/>
      <c r="B84" s="372"/>
      <c r="C84" s="372"/>
      <c r="D84" s="372"/>
      <c r="E84" s="305"/>
      <c r="F84" s="108" t="str">
        <f>IF(B84="","",VLOOKUP(B84,Lookup!$H$13:$I$19,2,FALSE))</f>
        <v/>
      </c>
      <c r="G84" s="60"/>
    </row>
    <row r="85" spans="1:15" ht="15.6" x14ac:dyDescent="0.35">
      <c r="A85" s="118"/>
      <c r="B85" s="19"/>
      <c r="C85" s="19"/>
      <c r="D85" s="1" t="s">
        <v>153</v>
      </c>
      <c r="E85" s="307">
        <f>SUM(E82:E84)</f>
        <v>0</v>
      </c>
      <c r="F85" s="13" t="s">
        <v>90</v>
      </c>
      <c r="G85" s="60"/>
    </row>
    <row r="86" spans="1:15" ht="15.6" x14ac:dyDescent="0.35">
      <c r="A86" s="68"/>
      <c r="B86" s="19"/>
      <c r="C86" s="19"/>
      <c r="D86" s="1" t="s">
        <v>203</v>
      </c>
      <c r="E86" s="134" t="str">
        <f ca="1">IF(G78=2,"Yes",IF(ROUND(E85,4)&gt;=ROUND(B79,4),"Yes","No"))</f>
        <v>Yes</v>
      </c>
      <c r="F86" s="13"/>
      <c r="G86" s="60"/>
    </row>
    <row r="87" spans="1:15" ht="14.4" customHeight="1" x14ac:dyDescent="0.3">
      <c r="A87" s="368" t="str">
        <f ca="1">IF(E86="No","NOTE:  Add more water quality practices unless site balancing is being used. (Check summary tab)","")</f>
        <v/>
      </c>
      <c r="B87" s="369"/>
      <c r="C87" s="369"/>
      <c r="D87" s="369"/>
      <c r="E87" s="369"/>
      <c r="F87" s="369"/>
      <c r="G87" s="370"/>
    </row>
    <row r="88" spans="1:15" ht="51.6" customHeight="1" thickBot="1" x14ac:dyDescent="0.35">
      <c r="A88" s="239" t="s">
        <v>168</v>
      </c>
      <c r="B88" s="414"/>
      <c r="C88" s="414"/>
      <c r="D88" s="414"/>
      <c r="E88" s="414"/>
      <c r="F88" s="414"/>
      <c r="G88" s="414"/>
    </row>
    <row r="89" spans="1:15" ht="15.6" x14ac:dyDescent="0.3">
      <c r="A89" s="56" t="s">
        <v>96</v>
      </c>
      <c r="B89" s="57"/>
      <c r="C89" s="57"/>
      <c r="D89" s="57"/>
      <c r="E89" s="178">
        <v>1</v>
      </c>
      <c r="F89" s="178">
        <v>1</v>
      </c>
      <c r="G89" s="58"/>
    </row>
    <row r="90" spans="1:15" ht="29.4" customHeight="1" x14ac:dyDescent="0.3">
      <c r="A90" s="59" t="s">
        <v>77</v>
      </c>
      <c r="B90" s="125"/>
      <c r="C90" s="364" t="str">
        <f>IF(F89=2,"Waiver (if No is selected):","")</f>
        <v/>
      </c>
      <c r="D90" s="364"/>
      <c r="E90" s="380"/>
      <c r="F90" s="380"/>
      <c r="G90" s="60"/>
      <c r="M90" s="41"/>
    </row>
    <row r="91" spans="1:15" s="49" customFormat="1" ht="37.200000000000003" customHeight="1" x14ac:dyDescent="0.3">
      <c r="A91" s="59" t="s">
        <v>80</v>
      </c>
      <c r="B91" s="27" t="str">
        <f>D61</f>
        <v>Yes</v>
      </c>
      <c r="C91" s="348"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been fully met with hydrologic condition method. Additional treatment of the 1 year storm is not required.</v>
      </c>
      <c r="D91" s="349"/>
      <c r="E91" s="349"/>
      <c r="F91" s="349"/>
      <c r="G91" s="350"/>
    </row>
    <row r="92" spans="1:15" s="49" customFormat="1" ht="31.2" customHeight="1" x14ac:dyDescent="0.3">
      <c r="A92" s="61" t="s">
        <v>81</v>
      </c>
      <c r="B92" s="62" t="str">
        <f>IF(D60&gt;0,D45-D59,"n/a")</f>
        <v>n/a</v>
      </c>
      <c r="C92" s="54" t="s">
        <v>90</v>
      </c>
      <c r="D92" s="31"/>
      <c r="E92" s="13"/>
      <c r="F92" s="63"/>
      <c r="G92" s="64"/>
    </row>
    <row r="93" spans="1:15" ht="34.799999999999997" customHeight="1" x14ac:dyDescent="0.3">
      <c r="A93" s="61" t="s">
        <v>92</v>
      </c>
      <c r="B93" s="125"/>
      <c r="C93" s="65" t="s">
        <v>94</v>
      </c>
      <c r="D93" s="304" t="s">
        <v>93</v>
      </c>
      <c r="E93" s="363" t="str">
        <f>IF(E89=1,"12 hours of extended detention","24 hours of extended detention")</f>
        <v>12 hours of extended detention</v>
      </c>
      <c r="F93" s="363"/>
      <c r="G93" s="60"/>
    </row>
    <row r="94" spans="1:15" ht="15" customHeight="1" x14ac:dyDescent="0.3">
      <c r="A94" s="381" t="str">
        <f>HYPERLINK("http://dec.vermont.gov/sites/dec/files/documents/wsmd_water_quality_standards_2016.pdf", "See the Vermont Water Quality Standards for warm and cold water designations")</f>
        <v>See the Vermont Water Quality Standards for warm and cold water designations</v>
      </c>
      <c r="B94" s="382"/>
      <c r="C94" s="382"/>
      <c r="D94" s="13"/>
      <c r="E94" s="358" t="s">
        <v>150</v>
      </c>
      <c r="F94" s="358"/>
      <c r="G94" s="179" t="b">
        <v>0</v>
      </c>
    </row>
    <row r="95" spans="1:15" ht="14.4" customHeight="1" x14ac:dyDescent="0.3">
      <c r="A95" s="381"/>
      <c r="B95" s="382"/>
      <c r="C95" s="382"/>
      <c r="D95" s="13"/>
      <c r="E95" s="359" t="s">
        <v>182</v>
      </c>
      <c r="F95" s="359"/>
      <c r="G95" s="360"/>
    </row>
    <row r="96" spans="1:15" x14ac:dyDescent="0.3">
      <c r="A96" s="299"/>
      <c r="B96" s="300"/>
      <c r="C96" s="13"/>
      <c r="D96" s="13"/>
      <c r="E96" s="359"/>
      <c r="F96" s="359"/>
      <c r="G96" s="360"/>
    </row>
    <row r="97" spans="1:7" x14ac:dyDescent="0.3">
      <c r="A97" s="66" t="s">
        <v>151</v>
      </c>
      <c r="B97" s="418"/>
      <c r="C97" s="419"/>
      <c r="D97" s="13"/>
      <c r="E97" s="183"/>
      <c r="F97" s="361" t="str">
        <f>IF(G94=TRUE,"detention time (hrs)","")</f>
        <v/>
      </c>
      <c r="G97" s="362"/>
    </row>
    <row r="98" spans="1:7" ht="11.4" customHeight="1" x14ac:dyDescent="0.3">
      <c r="A98" s="66"/>
      <c r="B98" s="55"/>
      <c r="C98" s="55"/>
      <c r="D98" s="13"/>
      <c r="E98" s="13"/>
      <c r="F98" s="13"/>
      <c r="G98" s="60"/>
    </row>
    <row r="99" spans="1:7" ht="45.6" customHeight="1" x14ac:dyDescent="0.3">
      <c r="A99" s="343" t="s">
        <v>210</v>
      </c>
      <c r="B99" s="344"/>
      <c r="C99" s="344"/>
      <c r="D99" s="344"/>
      <c r="E99" s="344"/>
      <c r="F99" s="344"/>
      <c r="G99" s="345"/>
    </row>
    <row r="100" spans="1:7" s="49" customFormat="1" ht="31.2" customHeight="1" x14ac:dyDescent="0.3">
      <c r="A100" s="59" t="s">
        <v>91</v>
      </c>
      <c r="B100" s="128" t="str">
        <f>D64</f>
        <v>n/a</v>
      </c>
      <c r="C100" s="383" t="s">
        <v>223</v>
      </c>
      <c r="D100" s="384"/>
      <c r="E100" s="129">
        <f>IF(E41=0,0,(F41^0.8)*(((1000/IF(B100&gt;95,95,IF(B100&lt;50,50,B100)))-9)^0.7)/(1140*E41^0.5)*60)</f>
        <v>0</v>
      </c>
      <c r="F100" s="73" t="s">
        <v>102</v>
      </c>
      <c r="G100" s="64"/>
    </row>
    <row r="101" spans="1:7" ht="49.2" customHeight="1" thickBot="1" x14ac:dyDescent="0.35">
      <c r="A101" s="222" t="s">
        <v>169</v>
      </c>
      <c r="B101" s="365"/>
      <c r="C101" s="366"/>
      <c r="D101" s="366"/>
      <c r="E101" s="366"/>
      <c r="F101" s="366"/>
      <c r="G101" s="367"/>
    </row>
    <row r="102" spans="1:7" ht="18" x14ac:dyDescent="0.4">
      <c r="A102" s="56" t="s">
        <v>97</v>
      </c>
      <c r="B102" s="57"/>
      <c r="C102" s="57"/>
      <c r="D102" s="57"/>
      <c r="E102" s="57"/>
      <c r="F102" s="178">
        <v>1</v>
      </c>
      <c r="G102" s="58"/>
    </row>
    <row r="103" spans="1:7" ht="29.4" customHeight="1" x14ac:dyDescent="0.3">
      <c r="A103" s="59" t="s">
        <v>77</v>
      </c>
      <c r="B103" s="127"/>
      <c r="C103" s="364" t="str">
        <f>IF(F102=1,"","Waiver (if No is selected):")</f>
        <v/>
      </c>
      <c r="D103" s="364"/>
      <c r="E103" s="380"/>
      <c r="F103" s="380"/>
      <c r="G103" s="60"/>
    </row>
    <row r="104" spans="1:7" ht="43.2" customHeight="1" x14ac:dyDescent="0.3">
      <c r="A104" s="59" t="s">
        <v>80</v>
      </c>
      <c r="B104" s="27" t="str">
        <f>E61</f>
        <v>Yes</v>
      </c>
      <c r="C104" s="348"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been fully met.  No additional STPs are required.</v>
      </c>
      <c r="D104" s="349"/>
      <c r="E104" s="349"/>
      <c r="F104" s="349"/>
      <c r="G104" s="350"/>
    </row>
    <row r="105" spans="1:7" x14ac:dyDescent="0.3">
      <c r="A105" s="68" t="s">
        <v>104</v>
      </c>
      <c r="B105" s="357"/>
      <c r="C105" s="357"/>
      <c r="D105" s="357"/>
      <c r="E105" s="357"/>
      <c r="F105" s="357"/>
      <c r="G105" s="60"/>
    </row>
    <row r="106" spans="1:7" x14ac:dyDescent="0.3">
      <c r="A106" s="14"/>
      <c r="B106" s="13"/>
      <c r="C106" s="20" t="s">
        <v>105</v>
      </c>
      <c r="D106" s="176"/>
      <c r="E106" s="13"/>
      <c r="F106" s="13"/>
      <c r="G106" s="60"/>
    </row>
    <row r="107" spans="1:7" x14ac:dyDescent="0.3">
      <c r="A107" s="14"/>
      <c r="B107" s="13"/>
      <c r="C107" s="20" t="s">
        <v>107</v>
      </c>
      <c r="D107" s="176"/>
      <c r="E107" s="13"/>
      <c r="F107" s="13"/>
      <c r="G107" s="60"/>
    </row>
    <row r="108" spans="1:7" x14ac:dyDescent="0.3">
      <c r="A108" s="14"/>
      <c r="B108" s="13"/>
      <c r="C108" s="20" t="s">
        <v>106</v>
      </c>
      <c r="D108" s="176"/>
      <c r="E108" s="13"/>
      <c r="F108" s="13"/>
      <c r="G108" s="60"/>
    </row>
    <row r="109" spans="1:7" x14ac:dyDescent="0.3">
      <c r="A109" s="14"/>
      <c r="B109" s="13"/>
      <c r="C109" s="20"/>
      <c r="D109" s="19"/>
      <c r="E109" s="13"/>
      <c r="F109" s="13"/>
      <c r="G109" s="60"/>
    </row>
    <row r="110" spans="1:7" ht="46.8" customHeight="1" x14ac:dyDescent="0.3">
      <c r="A110" s="343" t="s">
        <v>211</v>
      </c>
      <c r="B110" s="344"/>
      <c r="C110" s="344"/>
      <c r="D110" s="344"/>
      <c r="E110" s="344"/>
      <c r="F110" s="344"/>
      <c r="G110" s="345"/>
    </row>
    <row r="111" spans="1:7" ht="28.8" customHeight="1" x14ac:dyDescent="0.3">
      <c r="A111" s="194" t="s">
        <v>224</v>
      </c>
      <c r="B111" s="71" t="str">
        <f>E65</f>
        <v>n/a</v>
      </c>
      <c r="C111" s="420" t="s">
        <v>225</v>
      </c>
      <c r="D111" s="421"/>
      <c r="E111" s="72">
        <f>IF(E40=0,0,(F40^0.8)*(((1000/IF(B111&gt;95,95,IF(B111&lt;50,50,B111)))-9)^0.7)/(1140*E40^0.5)*60)</f>
        <v>0</v>
      </c>
      <c r="F111" s="346" t="s">
        <v>102</v>
      </c>
      <c r="G111" s="298"/>
    </row>
    <row r="112" spans="1:7" ht="28.8" customHeight="1" x14ac:dyDescent="0.3">
      <c r="A112" s="59" t="s">
        <v>91</v>
      </c>
      <c r="B112" s="71" t="str">
        <f>E64</f>
        <v>n/a</v>
      </c>
      <c r="C112" s="383" t="s">
        <v>223</v>
      </c>
      <c r="D112" s="384"/>
      <c r="E112" s="72">
        <f>IF(E41=0,0,(F41^0.8)*(((1000/IF(B112&gt;95,95,IF(B112&lt;50,50,B112)))-9)^0.7)/(1140*E41^0.5)*60)</f>
        <v>0</v>
      </c>
      <c r="F112" s="347"/>
      <c r="G112" s="64"/>
    </row>
    <row r="113" spans="1:7" ht="57.6" customHeight="1" thickBot="1" x14ac:dyDescent="0.35">
      <c r="A113" s="124" t="s">
        <v>170</v>
      </c>
      <c r="B113" s="365"/>
      <c r="C113" s="366"/>
      <c r="D113" s="366"/>
      <c r="E113" s="366"/>
      <c r="F113" s="366"/>
      <c r="G113" s="367"/>
    </row>
    <row r="114" spans="1:7" ht="18" x14ac:dyDescent="0.4">
      <c r="A114" s="56" t="s">
        <v>108</v>
      </c>
      <c r="B114" s="57"/>
      <c r="C114" s="57"/>
      <c r="D114" s="57"/>
      <c r="E114" s="57"/>
      <c r="F114" s="178">
        <v>1</v>
      </c>
      <c r="G114" s="58"/>
    </row>
    <row r="115" spans="1:7" ht="28.8" customHeight="1" x14ac:dyDescent="0.3">
      <c r="A115" s="59" t="s">
        <v>77</v>
      </c>
      <c r="B115" s="126"/>
      <c r="C115" s="364" t="str">
        <f>IF(F114=1,"","Waiver (if No is selected):")</f>
        <v/>
      </c>
      <c r="D115" s="364"/>
      <c r="E115" s="380"/>
      <c r="F115" s="380"/>
      <c r="G115" s="60"/>
    </row>
    <row r="116" spans="1:7" ht="43.2" customHeight="1" x14ac:dyDescent="0.3">
      <c r="A116" s="59" t="s">
        <v>80</v>
      </c>
      <c r="B116" s="27" t="str">
        <f>F61</f>
        <v>Yes</v>
      </c>
      <c r="C116" s="348"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flood standard has been fully met.  No additional STPs are required.</v>
      </c>
      <c r="D116" s="349"/>
      <c r="E116" s="349"/>
      <c r="F116" s="349"/>
      <c r="G116" s="350"/>
    </row>
    <row r="117" spans="1:7" x14ac:dyDescent="0.3">
      <c r="A117" s="68" t="s">
        <v>104</v>
      </c>
      <c r="B117" s="424"/>
      <c r="C117" s="424"/>
      <c r="D117" s="424"/>
      <c r="E117" s="424"/>
      <c r="F117" s="424"/>
      <c r="G117" s="60"/>
    </row>
    <row r="118" spans="1:7" x14ac:dyDescent="0.3">
      <c r="A118" s="14"/>
      <c r="B118" s="13"/>
      <c r="C118" s="20" t="s">
        <v>105</v>
      </c>
      <c r="D118" s="177"/>
      <c r="E118" s="13"/>
      <c r="F118" s="13"/>
      <c r="G118" s="60"/>
    </row>
    <row r="119" spans="1:7" x14ac:dyDescent="0.3">
      <c r="A119" s="14"/>
      <c r="B119" s="13"/>
      <c r="C119" s="20" t="s">
        <v>107</v>
      </c>
      <c r="D119" s="177"/>
      <c r="E119" s="13"/>
      <c r="F119" s="13"/>
      <c r="G119" s="60"/>
    </row>
    <row r="120" spans="1:7" x14ac:dyDescent="0.3">
      <c r="A120" s="14"/>
      <c r="B120" s="13"/>
      <c r="C120" s="20" t="s">
        <v>106</v>
      </c>
      <c r="D120" s="177"/>
      <c r="E120" s="13"/>
      <c r="F120" s="13"/>
      <c r="G120" s="60"/>
    </row>
    <row r="121" spans="1:7" x14ac:dyDescent="0.3">
      <c r="A121" s="14"/>
      <c r="B121" s="13"/>
      <c r="C121" s="13"/>
      <c r="D121" s="13"/>
      <c r="E121" s="13"/>
      <c r="F121" s="13"/>
      <c r="G121" s="60"/>
    </row>
    <row r="122" spans="1:7" ht="45.6" customHeight="1" x14ac:dyDescent="0.3">
      <c r="A122" s="343" t="s">
        <v>215</v>
      </c>
      <c r="B122" s="344"/>
      <c r="C122" s="344"/>
      <c r="D122" s="344"/>
      <c r="E122" s="344"/>
      <c r="F122" s="344"/>
      <c r="G122" s="345"/>
    </row>
    <row r="123" spans="1:7" ht="32.4" customHeight="1" x14ac:dyDescent="0.3">
      <c r="A123" s="194" t="s">
        <v>224</v>
      </c>
      <c r="B123" s="71" t="str">
        <f>F65</f>
        <v>n/a</v>
      </c>
      <c r="C123" s="420" t="s">
        <v>225</v>
      </c>
      <c r="D123" s="421"/>
      <c r="E123" s="72">
        <f>IF(E40=0,0,(F40^0.8)*(((1000/IF(B123&gt;95,95,IF(B123&lt;50,50,B123)))-9)^0.7)/(1140*E40^0.5)*60)</f>
        <v>0</v>
      </c>
      <c r="F123" s="422" t="s">
        <v>102</v>
      </c>
      <c r="G123" s="298"/>
    </row>
    <row r="124" spans="1:7" ht="28.8" customHeight="1" x14ac:dyDescent="0.3">
      <c r="A124" s="59" t="s">
        <v>91</v>
      </c>
      <c r="B124" s="71" t="str">
        <f>F64</f>
        <v>n/a</v>
      </c>
      <c r="C124" s="383" t="s">
        <v>223</v>
      </c>
      <c r="D124" s="384"/>
      <c r="E124" s="72">
        <f>IF(E41=0,0,(F41^0.8)*(((1000/IF(B124&gt;95,95,IF(B124&lt;50,50,B124)))-9)^0.7)/(1140*E41^0.5)*60)</f>
        <v>0</v>
      </c>
      <c r="F124" s="423"/>
      <c r="G124" s="64"/>
    </row>
    <row r="125" spans="1:7" ht="57.6" customHeight="1" thickBot="1" x14ac:dyDescent="0.35">
      <c r="A125" s="124" t="s">
        <v>171</v>
      </c>
      <c r="B125" s="365"/>
      <c r="C125" s="366"/>
      <c r="D125" s="366"/>
      <c r="E125" s="366"/>
      <c r="F125" s="366"/>
      <c r="G125" s="367"/>
    </row>
  </sheetData>
  <sheetProtection algorithmName="SHA-512" hashValue="8P24TXDWPemMX282kv+Sqzfx8ihnEutnWaMmLYlgSNGS13To7p3sZrDUGjnyTPDD9gBR75UUkXCUC30t4frlQw==" saltValue="ZRNLQnh/64LxmMNuTk7MLA==" spinCount="100000" sheet="1" objects="1" scenarios="1"/>
  <dataConsolidate/>
  <mergeCells count="67">
    <mergeCell ref="A38:G38"/>
    <mergeCell ref="D2:F2"/>
    <mergeCell ref="D3:F3"/>
    <mergeCell ref="D4:F4"/>
    <mergeCell ref="D5:F5"/>
    <mergeCell ref="D6:F6"/>
    <mergeCell ref="B8:D8"/>
    <mergeCell ref="A13:F13"/>
    <mergeCell ref="G14:G15"/>
    <mergeCell ref="A21:G21"/>
    <mergeCell ref="A22:F22"/>
    <mergeCell ref="B31:E31"/>
    <mergeCell ref="E68:F68"/>
    <mergeCell ref="A39:B41"/>
    <mergeCell ref="A44:C44"/>
    <mergeCell ref="A45:C45"/>
    <mergeCell ref="A48:G48"/>
    <mergeCell ref="C49:D49"/>
    <mergeCell ref="C50:D50"/>
    <mergeCell ref="C51:D51"/>
    <mergeCell ref="C52:D52"/>
    <mergeCell ref="C53:D53"/>
    <mergeCell ref="C54:D54"/>
    <mergeCell ref="C68:D68"/>
    <mergeCell ref="A87:G87"/>
    <mergeCell ref="C70:G70"/>
    <mergeCell ref="B71:G71"/>
    <mergeCell ref="C75:D75"/>
    <mergeCell ref="C76:D76"/>
    <mergeCell ref="C77:G77"/>
    <mergeCell ref="D78:E78"/>
    <mergeCell ref="A81:A84"/>
    <mergeCell ref="B81:D81"/>
    <mergeCell ref="B82:D82"/>
    <mergeCell ref="B83:D83"/>
    <mergeCell ref="B84:D84"/>
    <mergeCell ref="C103:D103"/>
    <mergeCell ref="E103:F103"/>
    <mergeCell ref="B88:G88"/>
    <mergeCell ref="C90:D90"/>
    <mergeCell ref="E90:F90"/>
    <mergeCell ref="C91:G91"/>
    <mergeCell ref="E93:F93"/>
    <mergeCell ref="A94:C95"/>
    <mergeCell ref="E94:F94"/>
    <mergeCell ref="E95:G96"/>
    <mergeCell ref="B97:C97"/>
    <mergeCell ref="F97:G97"/>
    <mergeCell ref="A99:G99"/>
    <mergeCell ref="C100:D100"/>
    <mergeCell ref="B101:G101"/>
    <mergeCell ref="C104:G104"/>
    <mergeCell ref="B105:F105"/>
    <mergeCell ref="A110:G110"/>
    <mergeCell ref="C111:D111"/>
    <mergeCell ref="F111:F112"/>
    <mergeCell ref="C112:D112"/>
    <mergeCell ref="C123:D123"/>
    <mergeCell ref="F123:F124"/>
    <mergeCell ref="C124:D124"/>
    <mergeCell ref="B125:G125"/>
    <mergeCell ref="B113:G113"/>
    <mergeCell ref="C115:D115"/>
    <mergeCell ref="E115:F115"/>
    <mergeCell ref="C116:G116"/>
    <mergeCell ref="B117:F117"/>
    <mergeCell ref="A122:G122"/>
  </mergeCells>
  <conditionalFormatting sqref="E68:F68">
    <cfRule type="expression" dxfId="184" priority="36">
      <formula>$F$67=2</formula>
    </cfRule>
  </conditionalFormatting>
  <conditionalFormatting sqref="E90:F90">
    <cfRule type="expression" dxfId="183" priority="35">
      <formula>$F$89=2</formula>
    </cfRule>
  </conditionalFormatting>
  <conditionalFormatting sqref="E103:F103">
    <cfRule type="expression" dxfId="182" priority="34">
      <formula>$F$102=2</formula>
    </cfRule>
  </conditionalFormatting>
  <conditionalFormatting sqref="E115:F115">
    <cfRule type="expression" dxfId="181" priority="33">
      <formula>$F$114=2</formula>
    </cfRule>
  </conditionalFormatting>
  <conditionalFormatting sqref="B105:F105 D108">
    <cfRule type="expression" dxfId="180" priority="32">
      <formula>$F$102=1</formula>
    </cfRule>
  </conditionalFormatting>
  <conditionalFormatting sqref="D106">
    <cfRule type="expression" dxfId="179" priority="31">
      <formula>$F$102=1</formula>
    </cfRule>
  </conditionalFormatting>
  <conditionalFormatting sqref="B117:F117 D120">
    <cfRule type="expression" dxfId="178" priority="30">
      <formula>$F$114=1</formula>
    </cfRule>
  </conditionalFormatting>
  <conditionalFormatting sqref="B82:D82 B83:B84 E82:E84">
    <cfRule type="expression" dxfId="177" priority="37">
      <formula>$F$79&gt;0</formula>
    </cfRule>
  </conditionalFormatting>
  <conditionalFormatting sqref="E97">
    <cfRule type="expression" dxfId="176" priority="29">
      <formula>$G$94=TRUE</formula>
    </cfRule>
  </conditionalFormatting>
  <conditionalFormatting sqref="D119">
    <cfRule type="expression" dxfId="175" priority="28">
      <formula>$F$114=1</formula>
    </cfRule>
  </conditionalFormatting>
  <conditionalFormatting sqref="D118">
    <cfRule type="expression" dxfId="174" priority="27">
      <formula>$F$114=1</formula>
    </cfRule>
  </conditionalFormatting>
  <conditionalFormatting sqref="D107">
    <cfRule type="expression" dxfId="173" priority="26">
      <formula>$F$102=1</formula>
    </cfRule>
  </conditionalFormatting>
  <conditionalFormatting sqref="C64">
    <cfRule type="expression" dxfId="172" priority="25">
      <formula>$C$64="n/a"</formula>
    </cfRule>
  </conditionalFormatting>
  <conditionalFormatting sqref="B82:E84">
    <cfRule type="expression" dxfId="171" priority="24">
      <formula>$F$79="N/A"</formula>
    </cfRule>
  </conditionalFormatting>
  <conditionalFormatting sqref="C61">
    <cfRule type="expression" dxfId="170" priority="21">
      <formula>C61="n/a"</formula>
    </cfRule>
    <cfRule type="expression" dxfId="169" priority="22">
      <formula>C61="No"</formula>
    </cfRule>
    <cfRule type="expression" dxfId="168" priority="23">
      <formula>C61="Yes"</formula>
    </cfRule>
  </conditionalFormatting>
  <conditionalFormatting sqref="B61">
    <cfRule type="expression" dxfId="167" priority="18">
      <formula>B61="n/a"</formula>
    </cfRule>
    <cfRule type="expression" dxfId="166" priority="19">
      <formula>B61="No"</formula>
    </cfRule>
    <cfRule type="expression" dxfId="165" priority="20">
      <formula>B61="Yes"</formula>
    </cfRule>
  </conditionalFormatting>
  <conditionalFormatting sqref="D61:F61">
    <cfRule type="expression" dxfId="164" priority="15">
      <formula>D61="n/a"</formula>
    </cfRule>
    <cfRule type="expression" dxfId="163" priority="16">
      <formula>D61="No"</formula>
    </cfRule>
    <cfRule type="expression" dxfId="162" priority="17">
      <formula>D61="Yes"</formula>
    </cfRule>
  </conditionalFormatting>
  <conditionalFormatting sqref="B70">
    <cfRule type="expression" dxfId="161" priority="12">
      <formula>B70="n/a"</formula>
    </cfRule>
    <cfRule type="expression" dxfId="160" priority="13">
      <formula>B70="No"</formula>
    </cfRule>
    <cfRule type="expression" dxfId="159" priority="14">
      <formula>B70="Yes"</formula>
    </cfRule>
  </conditionalFormatting>
  <conditionalFormatting sqref="B91">
    <cfRule type="expression" dxfId="158" priority="9">
      <formula>B91="n/a"</formula>
    </cfRule>
    <cfRule type="expression" dxfId="157" priority="10">
      <formula>B91="No"</formula>
    </cfRule>
    <cfRule type="expression" dxfId="156" priority="11">
      <formula>B91="Yes"</formula>
    </cfRule>
  </conditionalFormatting>
  <conditionalFormatting sqref="B104">
    <cfRule type="expression" dxfId="155" priority="6">
      <formula>B104="n/a"</formula>
    </cfRule>
    <cfRule type="expression" dxfId="154" priority="7">
      <formula>B104="No"</formula>
    </cfRule>
    <cfRule type="expression" dxfId="153" priority="8">
      <formula>B104="Yes"</formula>
    </cfRule>
  </conditionalFormatting>
  <conditionalFormatting sqref="B116">
    <cfRule type="expression" dxfId="152" priority="3">
      <formula>B116="n/a"</formula>
    </cfRule>
    <cfRule type="expression" dxfId="151" priority="4">
      <formula>B116="No"</formula>
    </cfRule>
    <cfRule type="expression" dxfId="150" priority="5">
      <formula>B116="Yes"</formula>
    </cfRule>
  </conditionalFormatting>
  <conditionalFormatting sqref="F75">
    <cfRule type="expression" dxfId="149" priority="2">
      <formula>$E$75&gt;=5%</formula>
    </cfRule>
  </conditionalFormatting>
  <conditionalFormatting sqref="F76">
    <cfRule type="expression" dxfId="148" priority="1">
      <formula>$E$76&gt;0</formula>
    </cfRule>
  </conditionalFormatting>
  <dataValidations count="2">
    <dataValidation type="decimal" allowBlank="1" showInputMessage="1" showErrorMessage="1" errorTitle="Invalid Longitude" error="You've entered a longitude outside of Vermont.  Longitude values in VT should always be negative." sqref="D6:F6" xr:uid="{C144F075-EB3E-4F74-A597-F538ED0EFC3C}">
      <formula1>-73.732</formula1>
      <formula2>-71.46</formula2>
    </dataValidation>
    <dataValidation type="decimal" allowBlank="1" showInputMessage="1" showErrorMessage="1" errorTitle="Invalid Latitude!" error="You've entered a latitude that is not in Vermont." sqref="D5:F5" xr:uid="{BEDC2C79-49FE-476D-AF27-86CF1BFB4A97}">
      <formula1>42.72</formula1>
      <formula2>45.02</formula2>
    </dataValidation>
  </dataValidations>
  <hyperlinks>
    <hyperlink ref="E8" r:id="rId1" xr:uid="{4361083C-8410-4FC8-82B4-CB3A110BFE54}"/>
  </hyperlinks>
  <pageMargins left="0.5" right="0.5" top="0.75" bottom="0.75" header="0.3" footer="0.3"/>
  <pageSetup orientation="portrait" r:id="rId2"/>
  <headerFooter>
    <oddHeader>&amp;C&amp;"-,Bold"&amp;14Vermont Operational Stormwater Permit - Standards Compliance Workbook</oddHeader>
    <oddFooter>&amp;LLast Updated 11/20/2017
&amp;R&amp;A: 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34145" r:id="rId5" name="Group Box 1">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34146" r:id="rId6" name="Option Button 2">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34147" r:id="rId7" name="Option Button 3">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34148" r:id="rId8" name="Group Box 4">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34149" r:id="rId9" name="Option Button 5">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34150" r:id="rId10" name="Option Button 6">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34151" r:id="rId11" name="Group Box 7">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34152" r:id="rId12" name="Option Button 8">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34153" r:id="rId13" name="Option Button 9">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34154" r:id="rId14" name="Group Box 10">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34155" r:id="rId15" name="Option Button 11">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34156" r:id="rId16" name="Option Button 12">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34157" r:id="rId17" name="Group Box 13">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34158" r:id="rId18" name="Option Button 14">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34159" r:id="rId19" name="Option Button 15">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34160" r:id="rId20" name="Check Box 16">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34161" r:id="rId21" name="Group Box 17">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34162" r:id="rId22" name="Option Button 18">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34163" r:id="rId23" name="Option Button 19">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34164" r:id="rId24" name="Group Box 20">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34165" r:id="rId25" name="Group Box 2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34166" r:id="rId26" name="Option Button 2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34167" r:id="rId27" name="Option Button 2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34168" r:id="rId28" name="Option Button 24">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34169" r:id="rId29" name="Option Button 25">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FA2FD2AE-4F6B-4FE6-B566-3A28D43BFAB8}">
          <x14:formula1>
            <xm:f>Lookup!$G$3:$G$6</xm:f>
          </x14:formula1>
          <xm:sqref>E68:F68</xm:sqref>
        </x14:dataValidation>
        <x14:dataValidation type="list" allowBlank="1" showInputMessage="1" showErrorMessage="1" xr:uid="{57CE02D3-F150-4CA7-BD87-D48FA2FA84A9}">
          <x14:formula1>
            <xm:f>Lookup!$H$4:$H$7</xm:f>
          </x14:formula1>
          <xm:sqref>E90:F90</xm:sqref>
        </x14:dataValidation>
        <x14:dataValidation type="list" allowBlank="1" showInputMessage="1" showErrorMessage="1" xr:uid="{899FD8D2-608E-4BC7-B531-2C4AC1E91923}">
          <x14:formula1>
            <xm:f>Lookup!$I$4:$I$8</xm:f>
          </x14:formula1>
          <xm:sqref>E103:F103</xm:sqref>
        </x14:dataValidation>
        <x14:dataValidation type="list" allowBlank="1" showInputMessage="1" showErrorMessage="1" xr:uid="{063C3FA7-6A7C-4BD0-B7A4-7591B81B1ECD}">
          <x14:formula1>
            <xm:f>Lookup!$J$4:$J$8</xm:f>
          </x14:formula1>
          <xm:sqref>E115:F115</xm:sqref>
        </x14:dataValidation>
        <x14:dataValidation type="list" allowBlank="1" showInputMessage="1" showErrorMessage="1" xr:uid="{5D8AF1A2-43F3-495A-930D-5279B263A861}">
          <x14:formula1>
            <xm:f>Lookup!$H$13:$H$19</xm:f>
          </x14:formula1>
          <xm:sqref>C82:D82 B82:B84</xm:sqref>
        </x14:dataValidation>
        <x14:dataValidation type="list" allowBlank="1" showInputMessage="1" showErrorMessage="1" xr:uid="{CBEFA30F-D852-4FFA-B419-36928914E11A}">
          <x14:formula1>
            <xm:f>Lookup!$G$12:$G$23</xm:f>
          </x14:formula1>
          <xm:sqref>A55</xm:sqref>
        </x14:dataValidation>
        <x14:dataValidation type="list" allowBlank="1" showInputMessage="1" showErrorMessage="1" xr:uid="{DBC98146-239C-40FA-A3F7-1C42105F3C3C}">
          <x14:formula1>
            <xm:f>Lookup!$G$11:$G$23</xm:f>
          </x14:formula1>
          <xm:sqref>A50:A54 C50:D54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52EB6-29C5-460A-B05C-DAEE45849052}">
  <dimension ref="A1:O125"/>
  <sheetViews>
    <sheetView view="pageLayout" zoomScaleNormal="100" workbookViewId="0">
      <selection activeCell="B79" sqref="B79"/>
    </sheetView>
  </sheetViews>
  <sheetFormatPr defaultRowHeight="14.4" x14ac:dyDescent="0.3"/>
  <cols>
    <col min="1" max="1" width="21.88671875" style="181" customWidth="1"/>
    <col min="2" max="6" width="12.21875" style="181" customWidth="1"/>
    <col min="7" max="7" width="7.21875" style="181" customWidth="1"/>
    <col min="8" max="8" width="8.88671875" style="181"/>
    <col min="9" max="9" width="8.6640625" style="181" customWidth="1"/>
    <col min="10" max="16384" width="8.88671875" style="181"/>
  </cols>
  <sheetData>
    <row r="1" spans="1:15" ht="18" x14ac:dyDescent="0.35">
      <c r="A1" s="96" t="s">
        <v>32</v>
      </c>
      <c r="B1" s="97"/>
      <c r="C1" s="97"/>
      <c r="D1" s="97"/>
      <c r="E1" s="97"/>
      <c r="F1" s="97"/>
      <c r="G1" s="98"/>
      <c r="H1" s="32"/>
      <c r="I1" s="21"/>
      <c r="J1" s="21"/>
    </row>
    <row r="2" spans="1:15" x14ac:dyDescent="0.3">
      <c r="A2" s="14"/>
      <c r="B2" s="13"/>
      <c r="C2" s="45" t="s">
        <v>29</v>
      </c>
      <c r="D2" s="411" t="str">
        <f>IF(Summary!C1="","",Summary!C1)</f>
        <v>East Street Industrial Park</v>
      </c>
      <c r="E2" s="411"/>
      <c r="F2" s="411"/>
      <c r="G2" s="99"/>
      <c r="H2" s="22"/>
      <c r="I2" s="22"/>
      <c r="J2" s="22"/>
    </row>
    <row r="3" spans="1:15" x14ac:dyDescent="0.3">
      <c r="A3" s="14"/>
      <c r="B3" s="13"/>
      <c r="C3" s="45" t="s">
        <v>30</v>
      </c>
      <c r="D3" s="427"/>
      <c r="E3" s="428"/>
      <c r="F3" s="429"/>
      <c r="G3" s="99"/>
      <c r="H3" s="22"/>
      <c r="I3" s="22"/>
      <c r="J3" s="22"/>
    </row>
    <row r="4" spans="1:15" x14ac:dyDescent="0.3">
      <c r="A4" s="14"/>
      <c r="B4" s="13"/>
      <c r="C4" s="45" t="s">
        <v>31</v>
      </c>
      <c r="D4" s="415"/>
      <c r="E4" s="416"/>
      <c r="F4" s="417"/>
      <c r="G4" s="99"/>
      <c r="H4" s="22"/>
      <c r="I4" s="22"/>
      <c r="J4" s="22"/>
    </row>
    <row r="5" spans="1:15" x14ac:dyDescent="0.3">
      <c r="A5" s="14"/>
      <c r="B5" s="13"/>
      <c r="C5" s="45" t="s">
        <v>172</v>
      </c>
      <c r="D5" s="430"/>
      <c r="E5" s="430"/>
      <c r="F5" s="430"/>
      <c r="G5" s="99"/>
      <c r="H5" s="22"/>
      <c r="I5" s="22"/>
      <c r="J5" s="22"/>
    </row>
    <row r="6" spans="1:15" ht="15.6" customHeight="1" x14ac:dyDescent="0.3">
      <c r="A6" s="14"/>
      <c r="B6" s="13"/>
      <c r="C6" s="46" t="s">
        <v>177</v>
      </c>
      <c r="D6" s="431"/>
      <c r="E6" s="432"/>
      <c r="F6" s="433"/>
      <c r="G6" s="99"/>
      <c r="H6" s="22"/>
      <c r="I6" s="22"/>
      <c r="J6" s="22"/>
    </row>
    <row r="7" spans="1:15" ht="9.6" customHeight="1" x14ac:dyDescent="0.3">
      <c r="A7" s="14"/>
      <c r="B7" s="13"/>
      <c r="C7" s="13"/>
      <c r="D7" s="13"/>
      <c r="E7" s="13"/>
      <c r="F7" s="15"/>
      <c r="G7" s="99"/>
      <c r="H7" s="22"/>
      <c r="I7" s="22"/>
      <c r="J7" s="22"/>
    </row>
    <row r="8" spans="1:15" ht="18" x14ac:dyDescent="0.35">
      <c r="A8" s="91" t="s">
        <v>53</v>
      </c>
      <c r="B8" s="434" t="s">
        <v>40</v>
      </c>
      <c r="C8" s="434"/>
      <c r="D8" s="434"/>
      <c r="E8" s="76" t="s">
        <v>41</v>
      </c>
      <c r="F8" s="13"/>
      <c r="G8" s="60"/>
      <c r="K8" s="23"/>
      <c r="L8" s="13"/>
      <c r="M8" s="13"/>
      <c r="N8" s="13"/>
      <c r="O8" s="13"/>
    </row>
    <row r="9" spans="1:15" x14ac:dyDescent="0.3">
      <c r="A9" s="130" t="s">
        <v>52</v>
      </c>
      <c r="B9" s="131" t="s">
        <v>54</v>
      </c>
      <c r="C9" s="132" t="s">
        <v>55</v>
      </c>
      <c r="D9" s="132" t="s">
        <v>56</v>
      </c>
      <c r="E9" s="132" t="s">
        <v>57</v>
      </c>
      <c r="F9" s="13"/>
      <c r="G9" s="60"/>
      <c r="K9" s="13"/>
      <c r="L9" s="13"/>
      <c r="M9" s="13"/>
      <c r="N9" s="13"/>
    </row>
    <row r="10" spans="1:15" x14ac:dyDescent="0.3">
      <c r="A10" s="61" t="s">
        <v>0</v>
      </c>
      <c r="B10" s="217">
        <v>1</v>
      </c>
      <c r="C10" s="218">
        <v>0</v>
      </c>
      <c r="D10" s="218">
        <v>0</v>
      </c>
      <c r="E10" s="218">
        <v>0</v>
      </c>
      <c r="F10" s="13"/>
      <c r="G10" s="60"/>
      <c r="K10" s="13"/>
      <c r="L10" s="13"/>
      <c r="M10" s="13"/>
      <c r="N10" s="13"/>
    </row>
    <row r="11" spans="1:15" ht="12.6" customHeight="1" thickBot="1" x14ac:dyDescent="0.35">
      <c r="A11" s="100"/>
      <c r="B11" s="101"/>
      <c r="C11" s="102"/>
      <c r="D11" s="102"/>
      <c r="E11" s="102"/>
      <c r="F11" s="102"/>
      <c r="G11" s="70"/>
      <c r="K11" s="13"/>
      <c r="L11" s="6"/>
      <c r="M11" s="13"/>
      <c r="N11" s="13"/>
      <c r="O11" s="13"/>
    </row>
    <row r="12" spans="1:15" ht="15.6" x14ac:dyDescent="0.3">
      <c r="A12" s="77" t="s">
        <v>82</v>
      </c>
      <c r="B12" s="94"/>
      <c r="C12" s="95"/>
      <c r="D12" s="95"/>
      <c r="E12" s="95"/>
      <c r="F12" s="95"/>
      <c r="G12" s="58"/>
      <c r="K12" s="13"/>
      <c r="L12" s="6"/>
      <c r="M12" s="13"/>
      <c r="N12" s="13"/>
      <c r="O12" s="13"/>
    </row>
    <row r="13" spans="1:15" ht="15.6" x14ac:dyDescent="0.3">
      <c r="A13" s="425" t="s">
        <v>58</v>
      </c>
      <c r="B13" s="426"/>
      <c r="C13" s="426"/>
      <c r="D13" s="426"/>
      <c r="E13" s="426"/>
      <c r="F13" s="426"/>
      <c r="G13" s="60"/>
      <c r="K13" s="13"/>
      <c r="L13" s="6"/>
      <c r="M13" s="13"/>
      <c r="N13" s="13"/>
      <c r="O13" s="13"/>
    </row>
    <row r="14" spans="1:15" x14ac:dyDescent="0.3">
      <c r="A14" s="243" t="s">
        <v>8</v>
      </c>
      <c r="B14" s="303" t="s">
        <v>2</v>
      </c>
      <c r="C14" s="303" t="s">
        <v>3</v>
      </c>
      <c r="D14" s="303" t="s">
        <v>4</v>
      </c>
      <c r="E14" s="303" t="s">
        <v>5</v>
      </c>
      <c r="F14" s="297" t="s">
        <v>13</v>
      </c>
      <c r="G14" s="385"/>
      <c r="H14" s="19"/>
      <c r="I14" s="19"/>
      <c r="J14" s="19"/>
      <c r="K14" s="13"/>
      <c r="L14" s="13"/>
      <c r="M14" s="13"/>
      <c r="N14" s="13"/>
      <c r="O14" s="13"/>
    </row>
    <row r="15" spans="1:15" ht="15.6" x14ac:dyDescent="0.3">
      <c r="A15" s="111" t="s">
        <v>6</v>
      </c>
      <c r="B15" s="216">
        <v>0</v>
      </c>
      <c r="C15" s="216">
        <v>0</v>
      </c>
      <c r="D15" s="216">
        <v>0</v>
      </c>
      <c r="E15" s="216">
        <v>0</v>
      </c>
      <c r="F15" s="133">
        <f t="shared" ref="F15:F18" si="0">SUM(B15:E15)</f>
        <v>0</v>
      </c>
      <c r="G15" s="385"/>
      <c r="H15" s="19"/>
      <c r="I15" s="19"/>
      <c r="J15" s="19"/>
      <c r="K15" s="10"/>
      <c r="L15" s="13"/>
      <c r="M15" s="13"/>
      <c r="N15" s="13"/>
      <c r="O15" s="13"/>
    </row>
    <row r="16" spans="1:15" x14ac:dyDescent="0.3">
      <c r="A16" s="111" t="s">
        <v>38</v>
      </c>
      <c r="B16" s="216">
        <v>0</v>
      </c>
      <c r="C16" s="216">
        <v>0</v>
      </c>
      <c r="D16" s="216">
        <v>0</v>
      </c>
      <c r="E16" s="216">
        <v>0</v>
      </c>
      <c r="F16" s="133">
        <f t="shared" si="0"/>
        <v>0</v>
      </c>
      <c r="G16" s="60"/>
      <c r="H16" s="1"/>
      <c r="I16" s="33"/>
      <c r="J16" s="33"/>
      <c r="K16" s="13"/>
      <c r="L16" s="22"/>
      <c r="M16" s="13"/>
      <c r="N16" s="13"/>
      <c r="O16" s="13"/>
    </row>
    <row r="17" spans="1:15" x14ac:dyDescent="0.3">
      <c r="A17" s="111" t="s">
        <v>7</v>
      </c>
      <c r="B17" s="216">
        <v>0</v>
      </c>
      <c r="C17" s="216">
        <v>0</v>
      </c>
      <c r="D17" s="216">
        <v>0</v>
      </c>
      <c r="E17" s="216">
        <v>0</v>
      </c>
      <c r="F17" s="133">
        <f t="shared" si="0"/>
        <v>0</v>
      </c>
      <c r="G17" s="60"/>
      <c r="H17" s="1"/>
      <c r="I17" s="33"/>
      <c r="J17" s="33"/>
      <c r="K17" s="13"/>
      <c r="L17" s="22"/>
      <c r="M17" s="13"/>
      <c r="N17" s="13"/>
      <c r="O17" s="13"/>
    </row>
    <row r="18" spans="1:15" x14ac:dyDescent="0.3">
      <c r="A18" s="224" t="s">
        <v>251</v>
      </c>
      <c r="B18" s="216">
        <v>0</v>
      </c>
      <c r="C18" s="216">
        <v>0</v>
      </c>
      <c r="D18" s="216">
        <v>0</v>
      </c>
      <c r="E18" s="216">
        <v>0</v>
      </c>
      <c r="F18" s="133">
        <f t="shared" si="0"/>
        <v>0</v>
      </c>
      <c r="G18" s="60"/>
      <c r="H18" s="19"/>
      <c r="I18" s="19"/>
      <c r="J18" s="34"/>
      <c r="K18" s="13"/>
      <c r="L18" s="22"/>
      <c r="M18" s="13"/>
      <c r="N18" s="13"/>
      <c r="O18" s="13"/>
    </row>
    <row r="19" spans="1:15" ht="13.8" customHeight="1" x14ac:dyDescent="0.3">
      <c r="A19" s="68"/>
      <c r="B19" s="255"/>
      <c r="C19" s="255"/>
      <c r="D19" s="271"/>
      <c r="E19" s="261" t="s">
        <v>249</v>
      </c>
      <c r="F19" s="274">
        <v>0</v>
      </c>
      <c r="G19" s="60"/>
      <c r="H19" s="19"/>
      <c r="I19" s="19"/>
      <c r="J19" s="34"/>
      <c r="K19" s="13"/>
      <c r="L19" s="6"/>
      <c r="M19" s="13"/>
      <c r="N19" s="13"/>
      <c r="O19" s="13"/>
    </row>
    <row r="20" spans="1:15" ht="13.8" customHeight="1" x14ac:dyDescent="0.3">
      <c r="A20" s="68"/>
      <c r="B20" s="255"/>
      <c r="C20" s="255"/>
      <c r="D20" s="255"/>
      <c r="E20" s="261" t="s">
        <v>250</v>
      </c>
      <c r="F20" s="272">
        <f>SUM(F15:F19)</f>
        <v>0</v>
      </c>
      <c r="G20" s="60"/>
      <c r="H20" s="19"/>
      <c r="I20" s="19"/>
      <c r="J20" s="34"/>
      <c r="K20" s="13"/>
      <c r="L20" s="6"/>
      <c r="M20" s="13"/>
      <c r="N20" s="13"/>
      <c r="O20" s="13"/>
    </row>
    <row r="21" spans="1:15" ht="28.2" customHeight="1" x14ac:dyDescent="0.3">
      <c r="A21" s="353" t="str">
        <f>IF(F18=0,IF(F28+F29+F30&gt;0,"Existing and/or redeveloped impervious has been defined in post development. User must define existing impervious in pre development.",""),"")</f>
        <v/>
      </c>
      <c r="B21" s="354"/>
      <c r="C21" s="354"/>
      <c r="D21" s="354"/>
      <c r="E21" s="354"/>
      <c r="F21" s="354"/>
      <c r="G21" s="355"/>
      <c r="H21" s="19"/>
      <c r="I21" s="19"/>
      <c r="J21" s="34"/>
      <c r="K21" s="13"/>
      <c r="L21" s="6"/>
      <c r="M21" s="13"/>
      <c r="N21" s="13"/>
      <c r="O21" s="13"/>
    </row>
    <row r="22" spans="1:15" ht="15.6" x14ac:dyDescent="0.3">
      <c r="A22" s="397" t="s">
        <v>123</v>
      </c>
      <c r="B22" s="398"/>
      <c r="C22" s="398"/>
      <c r="D22" s="398"/>
      <c r="E22" s="398"/>
      <c r="F22" s="398"/>
      <c r="G22" s="262" t="s">
        <v>246</v>
      </c>
      <c r="H22" s="19"/>
      <c r="I22" s="19"/>
      <c r="J22" s="34"/>
      <c r="K22" s="13"/>
      <c r="L22" s="6"/>
      <c r="M22" s="13"/>
      <c r="N22" s="13"/>
      <c r="O22" s="13"/>
    </row>
    <row r="23" spans="1:15" ht="13.8" customHeight="1" x14ac:dyDescent="0.3">
      <c r="A23" s="243" t="s">
        <v>8</v>
      </c>
      <c r="B23" s="303" t="s">
        <v>2</v>
      </c>
      <c r="C23" s="303" t="s">
        <v>3</v>
      </c>
      <c r="D23" s="303" t="s">
        <v>4</v>
      </c>
      <c r="E23" s="303" t="s">
        <v>5</v>
      </c>
      <c r="F23" s="297" t="s">
        <v>13</v>
      </c>
      <c r="G23" s="60"/>
      <c r="L23" s="6"/>
      <c r="M23" s="13"/>
      <c r="N23" s="13"/>
      <c r="O23" s="13"/>
    </row>
    <row r="24" spans="1:15" x14ac:dyDescent="0.3">
      <c r="A24" s="111" t="s">
        <v>6</v>
      </c>
      <c r="B24" s="216">
        <v>0</v>
      </c>
      <c r="C24" s="216">
        <v>0</v>
      </c>
      <c r="D24" s="216">
        <v>0</v>
      </c>
      <c r="E24" s="216">
        <v>0</v>
      </c>
      <c r="F24" s="133">
        <f>SUM(B24:E24)</f>
        <v>0</v>
      </c>
      <c r="G24" s="60"/>
      <c r="L24" s="13"/>
      <c r="M24" s="13"/>
      <c r="N24" s="13"/>
      <c r="O24" s="13"/>
    </row>
    <row r="25" spans="1:15" x14ac:dyDescent="0.3">
      <c r="A25" s="111" t="s">
        <v>38</v>
      </c>
      <c r="B25" s="216">
        <v>0</v>
      </c>
      <c r="C25" s="216">
        <v>0</v>
      </c>
      <c r="D25" s="216">
        <v>0</v>
      </c>
      <c r="E25" s="216">
        <v>0</v>
      </c>
      <c r="F25" s="133">
        <f>SUM(B25:E25)</f>
        <v>0</v>
      </c>
      <c r="G25" s="60"/>
      <c r="L25" s="13"/>
      <c r="M25" s="13"/>
      <c r="N25" s="13"/>
      <c r="O25" s="13"/>
    </row>
    <row r="26" spans="1:15" x14ac:dyDescent="0.3">
      <c r="A26" s="111" t="s">
        <v>7</v>
      </c>
      <c r="B26" s="216">
        <v>0</v>
      </c>
      <c r="C26" s="216">
        <v>0</v>
      </c>
      <c r="D26" s="216">
        <v>0</v>
      </c>
      <c r="E26" s="216">
        <v>0</v>
      </c>
      <c r="F26" s="133">
        <f>SUM(B26:E26)</f>
        <v>0</v>
      </c>
      <c r="G26" s="60"/>
      <c r="L26" s="6"/>
      <c r="M26" s="13"/>
      <c r="N26" s="13"/>
      <c r="O26" s="13"/>
    </row>
    <row r="27" spans="1:15" x14ac:dyDescent="0.3">
      <c r="A27" s="244" t="s">
        <v>243</v>
      </c>
      <c r="B27" s="256">
        <v>0</v>
      </c>
      <c r="C27" s="256">
        <v>0</v>
      </c>
      <c r="D27" s="256">
        <v>0</v>
      </c>
      <c r="E27" s="256">
        <v>0</v>
      </c>
      <c r="F27" s="257">
        <f>SUM(B27:E27)</f>
        <v>0</v>
      </c>
      <c r="G27" s="263">
        <f>IF(F32=0,0,F27/$F$32)</f>
        <v>0</v>
      </c>
      <c r="L27" s="6"/>
      <c r="M27" s="13"/>
      <c r="N27" s="13"/>
      <c r="O27" s="13"/>
    </row>
    <row r="28" spans="1:15" ht="43.2" x14ac:dyDescent="0.3">
      <c r="A28" s="254" t="s">
        <v>244</v>
      </c>
      <c r="B28" s="253">
        <v>0</v>
      </c>
      <c r="C28" s="253">
        <v>0</v>
      </c>
      <c r="D28" s="253">
        <v>0</v>
      </c>
      <c r="E28" s="253">
        <v>0</v>
      </c>
      <c r="F28" s="234">
        <f>SUM(B28:E28)</f>
        <v>0</v>
      </c>
      <c r="G28" s="264">
        <f>IF(F32=0,0,F28/$F$32)</f>
        <v>0</v>
      </c>
      <c r="L28" s="6"/>
      <c r="M28" s="13"/>
      <c r="N28" s="13"/>
      <c r="O28" s="13"/>
    </row>
    <row r="29" spans="1:15" x14ac:dyDescent="0.3">
      <c r="A29" s="254"/>
      <c r="B29" s="276"/>
      <c r="C29" s="276"/>
      <c r="D29" s="276"/>
      <c r="E29" s="277" t="s">
        <v>247</v>
      </c>
      <c r="F29" s="275">
        <v>0</v>
      </c>
      <c r="G29" s="263">
        <f>IF(F32=0,0,F29/$F$32)</f>
        <v>0</v>
      </c>
      <c r="L29" s="6"/>
      <c r="M29" s="13"/>
      <c r="N29" s="13"/>
      <c r="O29" s="13"/>
    </row>
    <row r="30" spans="1:15" x14ac:dyDescent="0.3">
      <c r="A30" s="14"/>
      <c r="B30" s="278"/>
      <c r="C30" s="278"/>
      <c r="D30" s="278"/>
      <c r="E30" s="279" t="s">
        <v>39</v>
      </c>
      <c r="F30" s="275">
        <v>0</v>
      </c>
      <c r="G30" s="263">
        <f>IF(F32=0,0,F30/$F$32)</f>
        <v>0</v>
      </c>
      <c r="H30" s="19"/>
      <c r="I30" s="19"/>
      <c r="J30" s="34"/>
      <c r="K30" s="13"/>
      <c r="L30" s="6"/>
      <c r="M30" s="13"/>
      <c r="N30" s="13"/>
      <c r="O30" s="13"/>
    </row>
    <row r="31" spans="1:15" x14ac:dyDescent="0.3">
      <c r="A31" s="14"/>
      <c r="B31" s="356" t="s">
        <v>248</v>
      </c>
      <c r="C31" s="356"/>
      <c r="D31" s="356"/>
      <c r="E31" s="356"/>
      <c r="F31" s="273">
        <f>F19</f>
        <v>0</v>
      </c>
      <c r="G31" s="263">
        <f>IF(F32=0,0,F31/$F$32)</f>
        <v>0</v>
      </c>
      <c r="H31" s="19"/>
      <c r="I31" s="19"/>
      <c r="J31" s="34"/>
      <c r="K31" s="13"/>
      <c r="L31" s="6"/>
      <c r="M31" s="13"/>
      <c r="N31" s="13"/>
      <c r="O31" s="13"/>
    </row>
    <row r="32" spans="1:15" x14ac:dyDescent="0.3">
      <c r="A32" s="14"/>
      <c r="B32" s="278"/>
      <c r="C32" s="278"/>
      <c r="D32" s="280"/>
      <c r="E32" s="281" t="s">
        <v>9</v>
      </c>
      <c r="F32" s="235">
        <f>SUM(F24:F31)</f>
        <v>0</v>
      </c>
      <c r="G32" s="60"/>
      <c r="H32" s="1"/>
      <c r="I32" s="33"/>
      <c r="J32" s="33"/>
      <c r="K32" s="13"/>
      <c r="L32" s="6"/>
      <c r="M32" s="13"/>
      <c r="N32" s="13"/>
      <c r="O32" s="13"/>
    </row>
    <row r="33" spans="1:15" ht="7.2" customHeight="1" x14ac:dyDescent="0.3">
      <c r="A33" s="14"/>
      <c r="B33" s="13"/>
      <c r="C33" s="13"/>
      <c r="D33" s="255"/>
      <c r="E33" s="145"/>
      <c r="F33" s="255"/>
      <c r="G33" s="60"/>
      <c r="H33" s="1"/>
      <c r="I33" s="33"/>
      <c r="J33" s="33"/>
      <c r="K33" s="13"/>
      <c r="L33" s="6"/>
      <c r="M33" s="13"/>
      <c r="N33" s="13"/>
      <c r="O33" s="13"/>
    </row>
    <row r="34" spans="1:15" x14ac:dyDescent="0.3">
      <c r="A34" s="14"/>
      <c r="B34" s="13"/>
      <c r="C34" s="13"/>
      <c r="D34" s="255"/>
      <c r="E34" s="260" t="s">
        <v>220</v>
      </c>
      <c r="F34" s="235">
        <f>F31+F30+F28+F27</f>
        <v>0</v>
      </c>
      <c r="G34" s="60"/>
      <c r="H34" s="1"/>
      <c r="I34" s="33"/>
      <c r="J34" s="33"/>
      <c r="K34" s="13"/>
      <c r="L34" s="6"/>
      <c r="M34" s="13"/>
      <c r="N34" s="13"/>
      <c r="O34" s="13"/>
    </row>
    <row r="35" spans="1:15" x14ac:dyDescent="0.3">
      <c r="A35" s="14"/>
      <c r="B35" s="13"/>
      <c r="C35" s="13"/>
      <c r="D35" s="255"/>
      <c r="E35" s="261" t="s">
        <v>202</v>
      </c>
      <c r="F35" s="259">
        <f>IF(F18-(F27+F28+F30+F29+F31)&lt;0,0,F18-(F27+F28+F30+F29+F31))</f>
        <v>0</v>
      </c>
      <c r="G35" s="263">
        <f>IF(F18=0,0,F35/F18)</f>
        <v>0</v>
      </c>
      <c r="H35" s="1"/>
      <c r="I35" s="33"/>
      <c r="J35" s="33"/>
      <c r="K35" s="13"/>
      <c r="L35" s="6"/>
      <c r="M35" s="13"/>
      <c r="N35" s="13"/>
      <c r="O35" s="13"/>
    </row>
    <row r="36" spans="1:15" x14ac:dyDescent="0.3">
      <c r="A36" s="14"/>
      <c r="B36" s="13"/>
      <c r="C36" s="13"/>
      <c r="D36" s="255"/>
      <c r="E36" s="261" t="s">
        <v>245</v>
      </c>
      <c r="F36" s="259">
        <f>IF((F18-F29-F28-F30)&lt;0,0,(F18-F29-F28-F30))</f>
        <v>0</v>
      </c>
      <c r="G36" s="263">
        <f>IF(F18-F28-F29=0,0,F36/(F18-F28-F29))</f>
        <v>0</v>
      </c>
      <c r="H36" s="1"/>
      <c r="I36" s="33"/>
      <c r="J36" s="33"/>
      <c r="K36" s="13"/>
      <c r="L36" s="6"/>
      <c r="M36" s="13"/>
      <c r="N36" s="13"/>
      <c r="O36" s="13"/>
    </row>
    <row r="37" spans="1:15" ht="7.2" customHeight="1" x14ac:dyDescent="0.3">
      <c r="A37" s="14"/>
      <c r="B37" s="13"/>
      <c r="C37" s="13"/>
      <c r="D37" s="255"/>
      <c r="E37" s="258"/>
      <c r="F37" s="19"/>
      <c r="G37" s="60"/>
      <c r="H37" s="1"/>
      <c r="I37" s="33"/>
      <c r="J37" s="33"/>
      <c r="K37" s="13"/>
      <c r="L37" s="6"/>
      <c r="M37" s="13"/>
      <c r="N37" s="13"/>
      <c r="O37" s="13"/>
    </row>
    <row r="38" spans="1:15" ht="30.6" customHeight="1" thickBot="1" x14ac:dyDescent="0.35">
      <c r="A38" s="402" t="str">
        <f>IF(F32=F20,"","WARNING: Pre development and post development areas don't match, so evaluation of the Hydrologic Condition Method is not appropriate within this drainage area. Designer may consider HCM across drainage areas.")</f>
        <v/>
      </c>
      <c r="B38" s="403"/>
      <c r="C38" s="403"/>
      <c r="D38" s="403"/>
      <c r="E38" s="403"/>
      <c r="F38" s="403"/>
      <c r="G38" s="404"/>
      <c r="H38" s="1"/>
      <c r="I38" s="33"/>
      <c r="J38" s="33"/>
      <c r="K38" s="13"/>
      <c r="L38" s="6"/>
      <c r="M38" s="13"/>
      <c r="N38" s="13"/>
      <c r="O38" s="13"/>
    </row>
    <row r="39" spans="1:15" ht="43.2" x14ac:dyDescent="0.3">
      <c r="A39" s="405" t="s">
        <v>242</v>
      </c>
      <c r="B39" s="406"/>
      <c r="C39" s="57"/>
      <c r="D39" s="236"/>
      <c r="E39" s="237" t="s">
        <v>219</v>
      </c>
      <c r="F39" s="238" t="s">
        <v>218</v>
      </c>
      <c r="G39" s="58"/>
      <c r="H39" s="1"/>
      <c r="I39" s="33"/>
      <c r="K39" s="13"/>
      <c r="L39" s="6"/>
      <c r="M39" s="13"/>
      <c r="N39" s="13"/>
      <c r="O39" s="13"/>
    </row>
    <row r="40" spans="1:15" ht="14.4" customHeight="1" x14ac:dyDescent="0.3">
      <c r="A40" s="407"/>
      <c r="B40" s="408"/>
      <c r="C40" s="13"/>
      <c r="D40" s="20" t="s">
        <v>216</v>
      </c>
      <c r="E40" s="198">
        <v>0</v>
      </c>
      <c r="F40" s="171">
        <v>0</v>
      </c>
      <c r="G40" s="60"/>
      <c r="H40" s="1"/>
      <c r="I40" s="33"/>
      <c r="J40" s="33"/>
      <c r="K40" s="13"/>
      <c r="L40" s="6"/>
      <c r="M40" s="13"/>
      <c r="N40" s="13"/>
      <c r="O40" s="13"/>
    </row>
    <row r="41" spans="1:15" ht="14.4" customHeight="1" x14ac:dyDescent="0.3">
      <c r="A41" s="407"/>
      <c r="B41" s="408"/>
      <c r="C41" s="13"/>
      <c r="D41" s="20" t="s">
        <v>217</v>
      </c>
      <c r="E41" s="198">
        <v>0</v>
      </c>
      <c r="F41" s="171">
        <v>0</v>
      </c>
      <c r="G41" s="60"/>
      <c r="H41" s="1"/>
      <c r="I41" s="33"/>
      <c r="J41" s="33"/>
      <c r="K41" s="13"/>
      <c r="L41" s="6"/>
      <c r="M41" s="13"/>
      <c r="N41" s="13"/>
      <c r="O41" s="13"/>
    </row>
    <row r="42" spans="1:15" ht="7.2" customHeight="1" thickBot="1" x14ac:dyDescent="0.35">
      <c r="A42" s="16"/>
      <c r="B42" s="92"/>
      <c r="C42" s="192"/>
      <c r="D42" s="192"/>
      <c r="E42" s="192"/>
      <c r="F42" s="193"/>
      <c r="G42" s="70"/>
      <c r="H42" s="1"/>
      <c r="I42" s="33"/>
      <c r="J42" s="33"/>
      <c r="K42" s="13"/>
      <c r="L42" s="6"/>
      <c r="M42" s="13"/>
      <c r="N42" s="13"/>
      <c r="O42" s="13"/>
    </row>
    <row r="43" spans="1:15" ht="14.4" customHeight="1" x14ac:dyDescent="0.35">
      <c r="A43" s="56" t="s">
        <v>59</v>
      </c>
      <c r="B43" s="240"/>
      <c r="C43" s="57"/>
      <c r="D43" s="123" t="s">
        <v>60</v>
      </c>
      <c r="E43" s="123" t="s">
        <v>61</v>
      </c>
      <c r="F43" s="123" t="s">
        <v>62</v>
      </c>
      <c r="G43" s="58"/>
      <c r="K43" s="10"/>
      <c r="L43" s="13"/>
      <c r="M43" s="13"/>
      <c r="N43" s="13"/>
      <c r="O43" s="13"/>
    </row>
    <row r="44" spans="1:15" ht="14.4" customHeight="1" x14ac:dyDescent="0.3">
      <c r="A44" s="399" t="s">
        <v>112</v>
      </c>
      <c r="B44" s="386"/>
      <c r="C44" s="400"/>
      <c r="D44" s="265">
        <f>(IF($C$10&lt;0.2*Lookup!$B$13,0,(('SN6'!$C$10-0.2*Lookup!$B$13)^2/('SN6'!$C$10+0.8*Lookup!$B$13)))*$B$15+IF($C$10&lt;0.2*Lookup!$B$14,0,(('SN6'!$C$10-0.2*Lookup!$B$14)^2/('SN6'!$C$10+0.8*Lookup!$B$14)))*$B$16+IF($C$10&lt;0.2*Lookup!$B$15,0,(('SN6'!$C$10-0.2*Lookup!$B$15)^2/('SN6'!$C$10+0.8*Lookup!$B$15)))*$B$17++IF($C$10&lt;0.2*Lookup!$B$17,0,(('SN6'!$C$10-0.2*Lookup!$B$17)^2/('SN6'!$C$10+0.8*Lookup!$B$17)))*$B$18+IF($C$10&lt;0.2*Lookup!$C$13,0,(('SN6'!$C$10-0.2*Lookup!$C$13)^2/('SN6'!C$10+0.8*Lookup!$C$13)))*$C$15+IF($C$10&lt;0.2*Lookup!$C$14,0,(('SN6'!$C$10-0.2*Lookup!$C$14)^2/('SN6'!$C$10+0.8*Lookup!$C$14)))*$C$16+IF($C$10&lt;0.2*Lookup!$C$15,0,(('SN6'!$C$10-0.2*Lookup!$C$15)^2/('SN6'!$C$10+0.8*Lookup!$C$15)))*$C$17+IF($C$10&lt;0.2*Lookup!$C$17,0,(('SN6'!$C$10-0.2*Lookup!$C$17)^2/('SN6'!$C$10+0.8*Lookup!$C$17)))*$C$18+IF($C$10&lt;0.2*Lookup!$D$13,0,(('SN6'!$C$10-0.2*Lookup!$D$13)^2/('SN6'!$C$10+0.8*Lookup!$D$13)))*$D$15+IF($C$10&lt;0.2*Lookup!$D$14,0,(('SN6'!$C$10-0.2*Lookup!$D$14)^2/('SN6'!$C$10+0.8*Lookup!$D$14)))*$D$16+IF($C$10&lt;0.2*Lookup!$D$15,0,(('SN6'!$C$10-0.2*Lookup!$D$15)^2/('SN6'!$C$10+0.8*Lookup!$D$15)))*$D$17+IF($C$10&lt;0.2*Lookup!$D$17,0,(('SN6'!$C$10-0.2*Lookup!$D$17)^2/('SN6'!$C$10+0.8*Lookup!$D$17)))*$D$18+IF($C$10&lt;0.2*Lookup!$E$13,0,(('SN6'!$C$10-0.2*Lookup!$E$13)^2/('SN6'!$C$10+0.8*Lookup!$E$13)))*$E$15+IF($C$10&lt;0.2*Lookup!$E$14,0,(('SN6'!$C$10-0.2*Lookup!$E$14)^2/('SN6'!$C$10+0.8*Lookup!$E$14)))*$E$16+IF($C$10&lt;0.2*Lookup!$E$15,0,(('SN6'!$C$10-0.2*Lookup!$E$15)^2/('SN6'!$C$10+0.8*Lookup!$E$15)))*$E$17+IF($C$10&lt;0.2*Lookup!$E$17,0,(('SN6'!$C$10-0.2*Lookup!$E$17)^2/('SN6'!$C$10+0.8*Lookup!$E$17)))*$E$18)/12</f>
        <v>0</v>
      </c>
      <c r="E44" s="265">
        <f>(IF($D$10&lt;0.2*Lookup!$B$13,0,(('SN6'!$D$10-0.2*Lookup!$B$13)^2/('SN6'!$D$10+0.8*Lookup!$B$13)))*$B$15+IF($D$10&lt;0.2*Lookup!$B$14,0,(('SN6'!$D$10-0.2*Lookup!$B$14)^2/('SN6'!$D$10+0.8*Lookup!$B$14)))*$B$16+IF($D$10&lt;0.2*Lookup!$B$15,0,(('SN6'!$D$10-0.2*Lookup!$B$15)^2/('SN6'!$D$10+0.8*Lookup!$B$15)))*$B$17++IF($D$10&lt;0.2*Lookup!$B$17,0,(('SN6'!$D$10-0.2*Lookup!$B$17)^2/('SN6'!$D$10+0.8*Lookup!$B$17)))*$B$18+IF($D$10&lt;0.2*Lookup!$C$13,0,(('SN6'!$D$10-0.2*Lookup!$C$13)^2/('SN6'!C$10+0.8*Lookup!$C$13)))*$C$15+IF($D$10&lt;0.2*Lookup!$C$14,0,(('SN6'!$D$10-0.2*Lookup!$C$14)^2/('SN6'!$D$10+0.8*Lookup!$C$14)))*$C$16+IF($D$10&lt;0.2*Lookup!$C$15,0,(('SN6'!$D$10-0.2*Lookup!$C$15)^2/('SN6'!$D$10+0.8*Lookup!$C$15)))*$C$17+IF($D$10&lt;0.2*Lookup!$C$17,0,(('SN6'!$D$10-0.2*Lookup!$C$17)^2/('SN6'!$D$10+0.8*Lookup!$C$17)))*$C$18+IF($D$10&lt;0.2*Lookup!$D$13,0,(('SN6'!$D$10-0.2*Lookup!$D$13)^2/('SN6'!$D$10+0.8*Lookup!$D$13)))*$D$15+IF($D$10&lt;0.2*Lookup!$D$14,0,(('SN6'!$D$10-0.2*Lookup!$D$14)^2/('SN6'!$D$10+0.8*Lookup!$D$14)))*$D$16+IF($D$10&lt;0.2*Lookup!$D$15,0,(('SN6'!$D$10-0.2*Lookup!$D$15)^2/('SN6'!$D$10+0.8*Lookup!$D$15)))*$D$17+IF($D$10&lt;0.2*Lookup!$D$17,0,(('SN6'!$D$10-0.2*Lookup!$D$17)^2/('SN6'!$D$10+0.8*Lookup!$D$17)))*$D$18+IF($D$10&lt;0.2*Lookup!$E$13,0,(('SN6'!$D$10-0.2*Lookup!$E$13)^2/('SN6'!$D$10+0.8*Lookup!$E$13)))*$E$15+IF($D$10&lt;0.2*Lookup!$E$14,0,(('SN6'!$D$10-0.2*Lookup!$E$14)^2/('SN6'!$D$10+0.8*Lookup!$E$14)))*$E$16+IF($D$10&lt;0.2*Lookup!$E$15,0,(('SN6'!$D$10-0.2*Lookup!$E$15)^2/('SN6'!$D$10+0.8*Lookup!$E$15)))*$E$17++IF($D$10&lt;0.2*Lookup!$E$17,0,(('SN6'!$D$10-0.2*Lookup!$E$17)^2/('SN6'!$D$10+0.8*Lookup!$E$17)))*$E$18)/12</f>
        <v>0</v>
      </c>
      <c r="F44" s="265">
        <f>(IF($E$10&lt;0.2*Lookup!$B$13,0,(('SN6'!$E$10-0.2*Lookup!$B$13)^2/('SN6'!$E$10+0.8*Lookup!$B$13)))*$B$15+IF($E$10&lt;0.2*Lookup!$B$14,0,(('SN6'!$E$10-0.2*Lookup!$B$14)^2/('SN6'!$E$10+0.8*Lookup!$B$14)))*$B$16+IF($E$10&lt;0.2*Lookup!$B$15,0,(('SN6'!$E$10-0.2*Lookup!$B$15)^2/('SN6'!$E$10+0.8*Lookup!$B$15)))*$B$17++IF($E$10&lt;0.2*Lookup!$B$17,0,(('SN6'!$E$10-0.2*Lookup!$B$17)^2/('SN6'!$E$10+0.8*Lookup!$B$17)))*$B$18+IF($E$10&lt;0.2*Lookup!$C$13,0,(('SN6'!$E$10-0.2*Lookup!$C$13)^2/('SN6'!C$10+0.8*Lookup!$C$13)))*$C$15+IF($E$10&lt;0.2*Lookup!$C$14,0,(('SN6'!$E$10-0.2*Lookup!$C$14)^2/('SN6'!$E$10+0.8*Lookup!$C$14)))*$C$16+IF($E$10&lt;0.2*Lookup!$C$15,0,(('SN6'!$E$10-0.2*Lookup!$C$15)^2/('SN6'!$E$10+0.8*Lookup!$C$15)))*$C$17+IF($E$10&lt;0.2*Lookup!$C$17,0,(('SN6'!$E$10-0.2*Lookup!$C$17)^2/('SN6'!$E$10+0.8*Lookup!$C$17)))*$C$18+IF($E$10&lt;0.2*Lookup!$D$13,0,(('SN6'!$E$10-0.2*Lookup!$D$13)^2/('SN6'!$E$10+0.8*Lookup!$D$13)))*$D$15+IF($E$10&lt;0.2*Lookup!$D$14,0,(('SN6'!$E$10-0.2*Lookup!$D$14)^2/('SN6'!$E$10+0.8*Lookup!$D$14)))*$D$16+IF($E$10&lt;0.2*Lookup!$D$15,0,(('SN6'!$E$10-0.2*Lookup!$D$15)^2/('SN6'!$E$10+0.8*Lookup!$D$15)))*$D$17+IF($E$10&lt;0.2*Lookup!$D$17,0,(('SN6'!$E$10-0.2*Lookup!$D$17)^2/('SN6'!$E$10+0.8*Lookup!$D$17)))*$D$18+IF($E$10&lt;0.2*Lookup!$E$13,0,(('SN6'!$E$10-0.2*Lookup!$E$13)^2/('SN6'!$E$10+0.8*Lookup!$E$13)))*$E$15+IF($E$10&lt;0.2*Lookup!$E$14,0,(('SN6'!$E$10-0.2*Lookup!$E$14)^2/('SN6'!$E$10+0.8*Lookup!$E$14)))*$E$16+IF($E$10&lt;0.2*Lookup!$E$15,0,(('SN6'!$E$10-0.2*Lookup!$E$15)^2/('SN6'!$E$10+0.8*Lookup!$E$15)))*$E$17++IF($E$10&lt;0.2*Lookup!$E$17,0,(('SN6'!$E$10-0.2*Lookup!$E$17)^2/('SN6'!$E$10+0.8*Lookup!$E$17)))*$E$18)/12</f>
        <v>0</v>
      </c>
      <c r="G44" s="60"/>
      <c r="K44" s="13"/>
      <c r="L44" s="6"/>
      <c r="M44" s="13"/>
      <c r="N44" s="13"/>
      <c r="O44" s="13"/>
    </row>
    <row r="45" spans="1:15" ht="14.4" customHeight="1" x14ac:dyDescent="0.3">
      <c r="A45" s="399" t="s">
        <v>113</v>
      </c>
      <c r="B45" s="386"/>
      <c r="C45" s="400"/>
      <c r="D45" s="265">
        <f>(IF($C$10&lt;0.2*Lookup!$B$13,0,(('SN6'!$C$10-0.2*Lookup!$B$13)^2/('SN6'!$C$10+0.8*Lookup!$B$13)))*$B$24+IF($C$10&lt;0.2*Lookup!$B$14,0,(('SN6'!$C$10-0.2*Lookup!$B$14)^2/('SN6'!$C$10+0.8*Lookup!$B$14)))*$B$25+IF($C$10&lt;0.2*Lookup!$B$15,0,(('SN6'!$C$10-0.2*Lookup!$B$15)^2/('SN6'!$C$10+0.8*Lookup!$B$15)))*$B$26+IF($C$10&lt;0.2*Lookup!$C$13,0,(('SN6'!$C$10-0.2*Lookup!$C$13)^2/('SN6'!C$10+0.8*Lookup!$C$13)))*$C$24+IF($C$10&lt;0.2*Lookup!$C$14,0,(('SN6'!$C$10-0.2*Lookup!$C$14)^2/('SN6'!$C$10+0.8*Lookup!$C$14)))*$C$25+IF($C$10&lt;0.2*Lookup!$C$15,0,(('SN6'!$C$10-0.2*Lookup!$C$15)^2/('SN6'!$C$10+0.8*Lookup!$C$15)))*$C$26+IF($C$10&lt;0.2*Lookup!$D$13,0,(('SN6'!$C$10-0.2*Lookup!$D$13)^2/('SN6'!$C$10+0.8*Lookup!$D$13)))*$D$24+IF($C$10&lt;0.2*Lookup!$D$14,0,(('SN6'!$C$10-0.2*Lookup!$D$14)^2/('SN6'!$C$10+0.8*Lookup!$D$14)))*$D$25+IF($C$10&lt;0.2*Lookup!$D$15,0,(('SN6'!$C$10-0.2*Lookup!$D$15)^2/('SN6'!$C$10+0.8*Lookup!$D$15)))*$D$26+IF($C$10&lt;0.2*Lookup!$E$13,0,(('SN6'!$C$10-0.2*Lookup!$E$13)^2/('SN6'!$C$10+0.8*Lookup!$E$13)))*$E$24+IF($C$10&lt;0.2*Lookup!$E$14,0,(('SN6'!$C$10-0.2*Lookup!$E$14)^2/('SN6'!$C$10+0.8*Lookup!$E$14)))*$E$25+IF($C$10&lt;0.2*Lookup!$E$15,0,(('SN6'!$C$10-0.2*Lookup!$E$15)^2/('SN6'!$C$10+0.8*Lookup!$E$15)))*$E$26+(($C$10-0.2*Lookup!B17)^2/($C$10+0.8*Lookup!B17)*(F27+F28+F29+F30)))/12</f>
        <v>0</v>
      </c>
      <c r="E45" s="265">
        <f>(IF($D$10&lt;0.2*Lookup!$B$13,0,(('SN6'!$D$10-0.2*Lookup!$B$13)^2/('SN6'!$D$10+0.8*Lookup!$B$13)))*$B$24+IF($D$10&lt;0.2*Lookup!$B$14,0,(('SN6'!$D$10-0.2*Lookup!$B$14)^2/('SN6'!$D$10+0.8*Lookup!$B$14)))*$B$25+IF($D$10&lt;0.2*Lookup!$B$15,0,(('SN6'!$D$10-0.2*Lookup!$B$15)^2/('SN6'!$D$10+0.8*Lookup!$B$15)))*$B$26+IF($D$10&lt;0.2*Lookup!$C$13,0,(('SN6'!$D$10-0.2*Lookup!$C$13)^2/('SN6'!C$10+0.8*Lookup!$C$13)))*$C$24+IF($D$10&lt;0.2*Lookup!$C$14,0,(('SN6'!$D$10-0.2*Lookup!$C$14)^2/('SN6'!$D$10+0.8*Lookup!$C$14)))*$C$25+IF($D$10&lt;0.2*Lookup!$C$15,0,(('SN6'!$D$10-0.2*Lookup!$C$15)^2/('SN6'!$D$10+0.8*Lookup!$C$15)))*$C$26+IF($D$10&lt;0.2*Lookup!$D$13,0,(('SN6'!$D$10-0.2*Lookup!$D$13)^2/('SN6'!$D$10+0.8*Lookup!$D$13)))*$D$24+IF($D$10&lt;0.2*Lookup!$D$14,0,(('SN6'!$D$10-0.2*Lookup!$D$14)^2/('SN6'!$D$10+0.8*Lookup!$D$14)))*$D$25+IF($D$10&lt;0.2*Lookup!$D$15,0,(('SN6'!$D$10-0.2*Lookup!$D$15)^2/('SN6'!$D$10+0.8*Lookup!$D$15)))*$D$26+IF($D$10&lt;0.2*Lookup!$E$13,0,(('SN6'!$D$10-0.2*Lookup!$E$13)^2/('SN6'!$D$10+0.8*Lookup!$E$13)))*$E$24+IF($D$10&lt;0.2*Lookup!$E$14,0,(('SN6'!$D$10-0.2*Lookup!$E$14)^2/('SN6'!$D$10+0.8*Lookup!$E$14)))*$E$25+IF($D$10&lt;0.2*Lookup!$E$15,0,(('SN6'!$D$10-0.2*Lookup!$E$15)^2/('SN6'!$D$10+0.8*Lookup!$E$15)))*$E$26+(($D$10-0.2*Lookup!B17)^2/($D$10+0.8*Lookup!B17)*(F27+F28+F29+F30)))/12</f>
        <v>0</v>
      </c>
      <c r="F45" s="265">
        <f>(IF($E$10&lt;0.2*Lookup!$B$13,0,(('SN6'!$E$10-0.2*Lookup!$B$13)^2/('SN6'!$E$10+0.8*Lookup!$B$13)))*$B$24+IF($E$10&lt;0.2*Lookup!$B$14,0,(('SN6'!$E$10-0.2*Lookup!$B$14)^2/('SN6'!$E$10+0.8*Lookup!$B$14)))*$B$25+IF($E$10&lt;0.2*Lookup!$B$15,0,(('SN6'!$E$10-0.2*Lookup!$B$15)^2/('SN6'!$E$10+0.8*Lookup!$B$15)))*$B$26+IF($E$10&lt;0.2*Lookup!$C$13,0,(('SN6'!$E$10-0.2*Lookup!$C$13)^2/('SN6'!C$10+0.8*Lookup!$C$13)))*$C$24+IF($E$10&lt;0.2*Lookup!$C$14,0,(('SN6'!$E$10-0.2*Lookup!$C$14)^2/('SN6'!$E$10+0.8*Lookup!$C$14)))*$C$25+IF($E$10&lt;0.2*Lookup!$C$15,0,(('SN6'!$E$10-0.2*Lookup!$C$15)^2/('SN6'!$E$10+0.8*Lookup!$C$15)))*$C$26+IF($E$10&lt;0.2*Lookup!$D$13,0,(('SN6'!$E$10-0.2*Lookup!$D$13)^2/('SN6'!$E$10+0.8*Lookup!$D$13)))*$D$24+IF($E$10&lt;0.2*Lookup!$D$14,0,(('SN6'!$E$10-0.2*Lookup!$D$14)^2/('SN6'!$E$10+0.8*Lookup!$D$14)))*$D$25+IF($E$10&lt;0.2*Lookup!$D$15,0,(('SN6'!$E$10-0.2*Lookup!$D$15)^2/('SN6'!$E$10+0.8*Lookup!$D$15)))*$D$26+IF($E$10&lt;0.2*Lookup!$E$13,0,(('SN6'!$E$10-0.2*Lookup!$E$13)^2/('SN6'!$E$10+0.8*Lookup!$E$13)))*$E$24+IF($E$10&lt;0.2*Lookup!$E$14,0,(('SN6'!$E$10-0.2*Lookup!$E$14)^2/('SN6'!$E$10+0.8*Lookup!$E$14)))*$E$25+IF($E$10&lt;0.2*Lookup!$E$15,0,(('SN6'!$E$10-0.2*Lookup!$E$15)^2/('SN6'!$E$10+0.8*Lookup!$E$15)))*$E$26+(($E$10-0.2*Lookup!B17)^2/($E$10+0.8*Lookup!B17)*(F27+F28+F29+F30)))/12</f>
        <v>0</v>
      </c>
      <c r="G45" s="60"/>
      <c r="K45" s="13"/>
      <c r="L45" s="6"/>
      <c r="M45" s="13"/>
      <c r="N45" s="13"/>
      <c r="O45" s="13"/>
    </row>
    <row r="46" spans="1:15" ht="15.6" customHeight="1" thickBot="1" x14ac:dyDescent="0.35">
      <c r="A46" s="16"/>
      <c r="B46" s="89"/>
      <c r="C46" s="92"/>
      <c r="D46" s="93"/>
      <c r="E46" s="89"/>
      <c r="F46" s="89"/>
      <c r="G46" s="70"/>
      <c r="K46" s="13"/>
      <c r="L46" s="6"/>
      <c r="M46" s="13"/>
      <c r="N46" s="13"/>
      <c r="O46" s="13"/>
    </row>
    <row r="47" spans="1:15" ht="15.6" x14ac:dyDescent="0.3">
      <c r="A47" s="56" t="s">
        <v>64</v>
      </c>
      <c r="B47" s="85"/>
      <c r="C47" s="86"/>
      <c r="D47" s="87"/>
      <c r="E47" s="85"/>
      <c r="F47" s="85"/>
      <c r="G47" s="58"/>
      <c r="K47" s="13"/>
      <c r="L47" s="6"/>
      <c r="M47" s="13"/>
      <c r="N47" s="13"/>
      <c r="O47" s="13"/>
    </row>
    <row r="48" spans="1:15" ht="44.4" customHeight="1" x14ac:dyDescent="0.3">
      <c r="A48" s="394" t="s">
        <v>214</v>
      </c>
      <c r="B48" s="395"/>
      <c r="C48" s="395"/>
      <c r="D48" s="395"/>
      <c r="E48" s="395"/>
      <c r="F48" s="395"/>
      <c r="G48" s="396"/>
      <c r="K48" s="13"/>
      <c r="L48" s="6"/>
      <c r="M48" s="13"/>
      <c r="N48" s="13"/>
      <c r="O48" s="13"/>
    </row>
    <row r="49" spans="1:15" ht="15.6" x14ac:dyDescent="0.35">
      <c r="A49" s="88" t="s">
        <v>71</v>
      </c>
      <c r="B49" s="117" t="s">
        <v>166</v>
      </c>
      <c r="C49" s="409" t="s">
        <v>71</v>
      </c>
      <c r="D49" s="410"/>
      <c r="E49" s="42" t="s">
        <v>166</v>
      </c>
      <c r="F49" s="19"/>
      <c r="G49" s="60"/>
      <c r="K49" s="13"/>
      <c r="L49" s="6"/>
      <c r="M49" s="13"/>
      <c r="N49" s="13"/>
      <c r="O49" s="13"/>
    </row>
    <row r="50" spans="1:15" x14ac:dyDescent="0.3">
      <c r="A50" s="195"/>
      <c r="B50" s="172"/>
      <c r="C50" s="351"/>
      <c r="D50" s="352"/>
      <c r="E50" s="173"/>
      <c r="F50" s="13"/>
      <c r="G50" s="60"/>
      <c r="I50" s="113"/>
      <c r="J50" s="113"/>
      <c r="K50" s="113"/>
      <c r="L50" s="6"/>
      <c r="M50" s="13"/>
      <c r="N50" s="13"/>
      <c r="O50" s="13"/>
    </row>
    <row r="51" spans="1:15" x14ac:dyDescent="0.3">
      <c r="A51" s="195"/>
      <c r="B51" s="172"/>
      <c r="C51" s="351"/>
      <c r="D51" s="352"/>
      <c r="E51" s="173"/>
      <c r="F51" s="13"/>
      <c r="G51" s="60"/>
      <c r="I51" s="113"/>
      <c r="J51" s="113"/>
      <c r="K51" s="113"/>
      <c r="L51" s="6"/>
      <c r="M51" s="13"/>
      <c r="N51" s="13"/>
      <c r="O51" s="13"/>
    </row>
    <row r="52" spans="1:15" x14ac:dyDescent="0.3">
      <c r="A52" s="195"/>
      <c r="B52" s="172"/>
      <c r="C52" s="351"/>
      <c r="D52" s="352"/>
      <c r="E52" s="173"/>
      <c r="F52" s="13"/>
      <c r="G52" s="60"/>
      <c r="I52" s="113"/>
      <c r="J52" s="113"/>
      <c r="K52" s="113"/>
      <c r="L52" s="6"/>
      <c r="M52" s="13"/>
      <c r="N52" s="13"/>
      <c r="O52" s="13"/>
    </row>
    <row r="53" spans="1:15" x14ac:dyDescent="0.3">
      <c r="A53" s="195"/>
      <c r="B53" s="172"/>
      <c r="C53" s="351"/>
      <c r="D53" s="352"/>
      <c r="E53" s="173"/>
      <c r="F53" s="19"/>
      <c r="G53" s="60"/>
      <c r="K53" s="13"/>
      <c r="L53" s="6"/>
      <c r="M53" s="13"/>
      <c r="N53" s="13"/>
      <c r="O53" s="13"/>
    </row>
    <row r="54" spans="1:15" x14ac:dyDescent="0.3">
      <c r="A54" s="195"/>
      <c r="B54" s="172"/>
      <c r="C54" s="351"/>
      <c r="D54" s="352"/>
      <c r="E54" s="173"/>
      <c r="F54" s="19"/>
      <c r="G54" s="60"/>
      <c r="K54" s="13"/>
      <c r="L54" s="6"/>
      <c r="M54" s="13"/>
      <c r="N54" s="13"/>
      <c r="O54" s="13"/>
    </row>
    <row r="55" spans="1:15" ht="13.8" customHeight="1" thickBot="1" x14ac:dyDescent="0.35">
      <c r="A55" s="16"/>
      <c r="B55" s="89"/>
      <c r="C55" s="90"/>
      <c r="D55" s="90"/>
      <c r="E55" s="89"/>
      <c r="F55" s="89"/>
      <c r="G55" s="70"/>
      <c r="K55" s="13"/>
      <c r="L55" s="6"/>
      <c r="M55" s="13"/>
      <c r="N55" s="13"/>
      <c r="O55" s="13"/>
    </row>
    <row r="56" spans="1:15" ht="15.6" x14ac:dyDescent="0.3">
      <c r="A56" s="77" t="s">
        <v>109</v>
      </c>
      <c r="B56" s="78"/>
      <c r="C56" s="78"/>
      <c r="D56" s="79"/>
      <c r="E56" s="79"/>
      <c r="F56" s="79"/>
      <c r="G56" s="58"/>
      <c r="K56" s="13"/>
      <c r="L56" s="6"/>
      <c r="M56" s="13"/>
      <c r="N56" s="13"/>
      <c r="O56" s="13"/>
    </row>
    <row r="57" spans="1:15" ht="15.6" x14ac:dyDescent="0.3">
      <c r="A57" s="80" t="s">
        <v>33</v>
      </c>
      <c r="B57" s="47" t="s">
        <v>73</v>
      </c>
      <c r="C57" s="47" t="s">
        <v>74</v>
      </c>
      <c r="D57" s="48" t="s">
        <v>75</v>
      </c>
      <c r="E57" s="48" t="s">
        <v>120</v>
      </c>
      <c r="F57" s="48" t="s">
        <v>121</v>
      </c>
      <c r="G57" s="60"/>
      <c r="K57" s="13"/>
      <c r="L57" s="6"/>
      <c r="M57" s="13"/>
      <c r="N57" s="13"/>
      <c r="O57" s="13"/>
    </row>
    <row r="58" spans="1:15" ht="15.6" x14ac:dyDescent="0.3">
      <c r="A58" s="61" t="s">
        <v>118</v>
      </c>
      <c r="B58" s="266">
        <f>B69</f>
        <v>0</v>
      </c>
      <c r="C58" s="267">
        <f>B77</f>
        <v>0</v>
      </c>
      <c r="D58" s="266">
        <f>D45-D44+(C10-0.2*Lookup!$B$17)^2/(C10+0.8*Lookup!$B$17)*$F$28/12-IF(C10-0.2*Lookup!$B$15&lt;0,0,(C10-0.2*Lookup!$B$15)^2/(C10+0.8*Lookup!$B$15))*$B$28/12-IF(C10-0.2*Lookup!$C$15&lt;0,0,(C10-0.2*Lookup!$C$15)^2/(C10+0.8*Lookup!$C$15))*$C$28/12-IF(C10-0.2*Lookup!$D$15&lt;0,0,(C10-0.2*Lookup!$D$15)^2/(C10+0.8*Lookup!$D$15))*$D$28/12-IF(C10-0.2*Lookup!$E$15&lt;0,0,(C10-0.2*Lookup!$E$15)^2/(C10+0.8*Lookup!$E$15)*$E$28)/12</f>
        <v>0</v>
      </c>
      <c r="E58" s="266">
        <f>E45-E44+(D10-0.2*Lookup!$B$17)^2/(D10+0.8*Lookup!$B$17)*$F$28/12-IF(D10-0.2*Lookup!$B$15&lt;0,0,(D10-0.2*Lookup!$B$15)^2/(D10+0.8*Lookup!$B$15))*$B$28/12-IF(D10-0.2*Lookup!$C$15&lt;0,0,(D10-0.2*Lookup!$C$15)^2/(D10+0.8*Lookup!$C$15))*$C$28/12-IF(D10-0.2*Lookup!$D$15&lt;0,0,(D10-0.2*Lookup!$D$15)^2/(D10+0.8*Lookup!$D$15))*$D$28/12-IF(D10-0.2*Lookup!$E$15&lt;0,0,(D10-0.2*Lookup!$E$15)^2/(D10+0.8*Lookup!$E$15)*$E$28)/12</f>
        <v>0</v>
      </c>
      <c r="F58" s="266">
        <f>F45-F44+(E10-0.2*Lookup!$B$17)^2/(E10+0.8*Lookup!$B$17)*$F$28/12-IF(E10-0.2*Lookup!$B$15&lt;0,0,(E10-0.2*Lookup!$B$15)^2/(E10+0.8*Lookup!$B$15))*$B$28/12-IF(E10-0.2*Lookup!$C$15&lt;0,0,(E10-0.2*Lookup!$C$15)^2/(E10+0.8*Lookup!$C$15))*$C$28/12-IF(E10-0.2*Lookup!$D$15&lt;0,0,(E10-0.2*Lookup!$D$15)^2/(E10+0.8*Lookup!$D$15))*$D$28/12-IF(E10-0.2*Lookup!$E$15&lt;0,0,(E10-0.2*Lookup!$E$15)^2/(E10+0.8*Lookup!$E$15)*$E$28)/12</f>
        <v>0</v>
      </c>
      <c r="G58" s="60"/>
      <c r="K58" s="13"/>
      <c r="L58" s="13"/>
      <c r="M58" s="13"/>
      <c r="N58" s="13"/>
      <c r="O58" s="13"/>
    </row>
    <row r="59" spans="1:15" ht="15.6" x14ac:dyDescent="0.3">
      <c r="A59" s="61" t="s">
        <v>72</v>
      </c>
      <c r="B59" s="268">
        <f ca="1">SUM($B$50:$B$54,$E$50:$E$54)-(SUMIF(A50:A54,"Green Roofs",B50:B54)+SUMIF(C50:D54,"Green Roofs",E50:E54))</f>
        <v>0</v>
      </c>
      <c r="C59" s="268">
        <f ca="1">SUM($B$50:$B$54,$E$50:$E$54)-(SUMIF(A50:A54,"Green Roofs",B50:B54)+SUMIF(C50:D54,"Green Roofs",E50:E54))</f>
        <v>0</v>
      </c>
      <c r="D59" s="268">
        <f>SUM($B$50:$B$54,$E$50:$E$54)</f>
        <v>0</v>
      </c>
      <c r="E59" s="268">
        <f t="shared" ref="E59:F59" si="1">SUM($B$50:$B$54,$E$50:$E$54)</f>
        <v>0</v>
      </c>
      <c r="F59" s="268">
        <f t="shared" si="1"/>
        <v>0</v>
      </c>
      <c r="G59" s="60"/>
      <c r="K59" s="24"/>
      <c r="L59" s="13"/>
      <c r="M59" s="13"/>
      <c r="N59" s="13"/>
      <c r="O59" s="13"/>
    </row>
    <row r="60" spans="1:15" ht="15.6" x14ac:dyDescent="0.3">
      <c r="A60" s="81" t="s">
        <v>119</v>
      </c>
      <c r="B60" s="268">
        <f ca="1">IF((B58-B59)&gt;0,B58-B59,0)</f>
        <v>0</v>
      </c>
      <c r="C60" s="268">
        <f ca="1">IF((C58-C59)&gt;0,C58-C59,0)</f>
        <v>0</v>
      </c>
      <c r="D60" s="268">
        <f>IF((D58-D59)&gt;0,D58-D59,0)</f>
        <v>0</v>
      </c>
      <c r="E60" s="268">
        <f>IF((E58-E59)&gt;0,E58-E59,0)</f>
        <v>0</v>
      </c>
      <c r="F60" s="268">
        <f>IF((F58-F59)&gt;0,F58-F59,0)</f>
        <v>0</v>
      </c>
      <c r="G60" s="60"/>
      <c r="K60" s="13"/>
      <c r="L60" s="13"/>
      <c r="M60" s="13"/>
      <c r="N60" s="13"/>
      <c r="O60" s="13"/>
    </row>
    <row r="61" spans="1:15" x14ac:dyDescent="0.3">
      <c r="A61" s="59" t="s">
        <v>44</v>
      </c>
      <c r="B61" s="27" t="str">
        <f>IF(B58=0,"n/a",IF(ROUND(B60,4)=0,"Yes","No"))</f>
        <v>n/a</v>
      </c>
      <c r="C61" s="27" t="str">
        <f ca="1">IF(ROUND(C60,4)=0,"Yes", "No")</f>
        <v>Yes</v>
      </c>
      <c r="D61" s="27" t="str">
        <f>IF(ROUND(D60,4)=0,"Yes", "No")</f>
        <v>Yes</v>
      </c>
      <c r="E61" s="27" t="str">
        <f>IF(ROUND(E60,4)=0,"Yes", "No")</f>
        <v>Yes</v>
      </c>
      <c r="F61" s="27" t="str">
        <f>IF(ROUND(F60,4)=0,"Yes", "No")</f>
        <v>Yes</v>
      </c>
      <c r="G61" s="60"/>
      <c r="H61" s="43"/>
      <c r="K61" s="13"/>
      <c r="L61" s="13"/>
      <c r="M61" s="13"/>
      <c r="N61" s="13"/>
      <c r="O61" s="13"/>
    </row>
    <row r="62" spans="1:15" x14ac:dyDescent="0.3">
      <c r="A62" s="59"/>
      <c r="B62" s="25"/>
      <c r="C62" s="25"/>
      <c r="D62" s="25"/>
      <c r="E62" s="25"/>
      <c r="F62" s="25"/>
      <c r="G62" s="60"/>
      <c r="K62" s="13"/>
      <c r="L62" s="13"/>
      <c r="M62" s="13"/>
      <c r="N62" s="13"/>
      <c r="O62" s="13"/>
    </row>
    <row r="63" spans="1:15" ht="15.6" x14ac:dyDescent="0.3">
      <c r="A63" s="110" t="s">
        <v>43</v>
      </c>
      <c r="B63" s="29" t="s">
        <v>34</v>
      </c>
      <c r="C63" s="28" t="str">
        <f>IF(F32=0,"n/a",200/((2+B10+C58*(24/F32))-(5*B10*C58*(12/F32)+4*(C58*(12/F32))^2)^(1/2)))</f>
        <v>n/a</v>
      </c>
      <c r="D63" s="28" t="str">
        <f>IF(F32=0,"n/a",200/((2+C10+D45*(24/F32))-(5*C10*D45*(12/F32)+4*(D45*(12/F32))^2)^(1/2)))</f>
        <v>n/a</v>
      </c>
      <c r="E63" s="28" t="str">
        <f>IF(F32=0,"n/a",200/((2+D10+E45*(24/F32))-(5*D10*E45*(12/F32)+4*(E45*(12/F32))^2)^(1/2)))</f>
        <v>n/a</v>
      </c>
      <c r="F63" s="28" t="str">
        <f>IF(F32=0,"n/a",200/((2+E10+F45*(24/F32))-(5*E10*F45*(12/F32)+4*(F45*(12/F32))^2)^(1/2)))</f>
        <v>n/a</v>
      </c>
      <c r="G63" s="60"/>
      <c r="K63" s="24"/>
      <c r="L63" s="13"/>
      <c r="M63" s="13"/>
      <c r="N63" s="13"/>
      <c r="O63" s="13"/>
    </row>
    <row r="64" spans="1:15" ht="16.2" x14ac:dyDescent="0.35">
      <c r="A64" s="111" t="s">
        <v>42</v>
      </c>
      <c r="B64" s="30" t="s">
        <v>34</v>
      </c>
      <c r="C64" s="26" t="str">
        <f>IF(F32=0,"n/a",IF(B59&gt;C58,"n/a",200/(2+B10+((C58-$B$59)*24/F32)-SQRT(5*B10*(C58-$B$59)*12/F32+4*((C58-$B$59)*12/F32)^2))))</f>
        <v>n/a</v>
      </c>
      <c r="D64" s="26" t="str">
        <f>IF(F32=0,"n/a",IF(D59&gt;D45,0,200/(2+C10+((D45-$B$59)*24/F32)-SQRT(5*C10*(D45-$B$59)*12/F32+4*((D45-$B$59)*12/F32)^2))))</f>
        <v>n/a</v>
      </c>
      <c r="E64" s="26" t="str">
        <f>IF(F32=0,"n/a",IF(E59&gt;E45,0,200/(2+D10+((E45-$B$59)*24/F32)-SQRT(5*D10*(E45-$B$59)*12/F32+4*((E45-$B$59)*12/F32)^2))))</f>
        <v>n/a</v>
      </c>
      <c r="F64" s="26" t="str">
        <f>IF(F32=0,"n/a",IF(F59&gt;F45,0,200/(2+E10+((F45-$B$59)*24/F32)-SQRT(5*E10*(F45-$B$59)*12/F32+4*((F45-$B$59)*12/F32)^2))))</f>
        <v>n/a</v>
      </c>
      <c r="G64" s="60"/>
      <c r="K64" s="24"/>
      <c r="L64" s="6"/>
      <c r="M64" s="13"/>
      <c r="N64" s="13"/>
      <c r="O64" s="13"/>
    </row>
    <row r="65" spans="1:15" ht="15.6" x14ac:dyDescent="0.3">
      <c r="A65" s="112" t="s">
        <v>36</v>
      </c>
      <c r="B65" s="82" t="s">
        <v>34</v>
      </c>
      <c r="C65" s="83" t="s">
        <v>34</v>
      </c>
      <c r="D65" s="84" t="str">
        <f>IF(F20-F19=0,"n/a",200/(C10+2*D44*12/(F20-F19)+2-SQRT(5*C10*D44*12/(F20-F19)+4*(D44*12/(F20-F19))^2)))</f>
        <v>n/a</v>
      </c>
      <c r="E65" s="84" t="str">
        <f>IF((F20-F19)=0,"n/a",200/(D10+2*E44*12/(F20-F19)+2-SQRT(5*D10*E44*12/(F20-F19)+4*(E44*12/(F20-F19))^2)))</f>
        <v>n/a</v>
      </c>
      <c r="F65" s="84" t="str">
        <f>IF((F20-F19)=0,"n/a",200/(E10+2*F44*12/(F20-F19)+2-SQRT(5*E10*F44*12/(F20-F19)+4*(F44*12/(F20-F19))^2)))</f>
        <v>n/a</v>
      </c>
      <c r="G65" s="60"/>
      <c r="K65" s="24"/>
      <c r="L65" s="6"/>
      <c r="M65" s="13"/>
      <c r="N65" s="13"/>
      <c r="O65" s="13"/>
    </row>
    <row r="66" spans="1:15" ht="16.2" thickBot="1" x14ac:dyDescent="0.35">
      <c r="A66" s="16"/>
      <c r="B66" s="17"/>
      <c r="C66" s="17"/>
      <c r="D66" s="17"/>
      <c r="E66" s="17"/>
      <c r="F66" s="17"/>
      <c r="G66" s="70"/>
      <c r="K66" s="24"/>
      <c r="L66" s="13"/>
      <c r="M66" s="13"/>
      <c r="N66" s="13"/>
      <c r="O66" s="13"/>
    </row>
    <row r="67" spans="1:15" ht="15.6" x14ac:dyDescent="0.3">
      <c r="A67" s="56" t="s">
        <v>76</v>
      </c>
      <c r="B67" s="57"/>
      <c r="C67" s="57"/>
      <c r="D67" s="57"/>
      <c r="E67" s="57"/>
      <c r="F67" s="178">
        <v>1</v>
      </c>
      <c r="G67" s="58"/>
      <c r="K67" s="24"/>
      <c r="L67" s="6"/>
      <c r="M67" s="13"/>
      <c r="N67" s="13"/>
      <c r="O67" s="13"/>
    </row>
    <row r="68" spans="1:15" ht="30.6" customHeight="1" x14ac:dyDescent="0.3">
      <c r="A68" s="59" t="s">
        <v>77</v>
      </c>
      <c r="B68" s="174"/>
      <c r="C68" s="386" t="str">
        <f>IF(F67=1,"","Reason recharge not required (if No is selected):")</f>
        <v/>
      </c>
      <c r="D68" s="386"/>
      <c r="E68" s="387"/>
      <c r="F68" s="387"/>
      <c r="G68" s="60"/>
      <c r="K68" s="24"/>
      <c r="L68" s="6"/>
      <c r="M68" s="13"/>
      <c r="N68" s="13"/>
      <c r="O68" s="13"/>
    </row>
    <row r="69" spans="1:15" ht="15.6" x14ac:dyDescent="0.3">
      <c r="A69" s="59" t="s">
        <v>117</v>
      </c>
      <c r="B69" s="265">
        <f>((B27+B28)*Lookup!B21+(C27+C28)*Lookup!C21+(D27+D28)*Lookup!D21+(E27+E28)*Lookup!E21*(F27+F28))/12</f>
        <v>0</v>
      </c>
      <c r="C69" s="301"/>
      <c r="D69" s="301"/>
      <c r="E69" s="182"/>
      <c r="F69" s="182"/>
      <c r="G69" s="60"/>
      <c r="K69" s="24"/>
      <c r="L69" s="6"/>
      <c r="M69" s="13"/>
      <c r="N69" s="13"/>
      <c r="O69" s="13"/>
    </row>
    <row r="70" spans="1:15" ht="42.6" customHeight="1" x14ac:dyDescent="0.3">
      <c r="A70" s="302" t="s">
        <v>110</v>
      </c>
      <c r="B70" s="27" t="str">
        <f>B61</f>
        <v>n/a</v>
      </c>
      <c r="C70" s="388" t="str">
        <f>IF(B70="No",IF(F67=1,"NOTE: Treatment provided is insufficient to meet the recharge standard within this drainage area.  Add more infiltrating practices unless recharge is being met site-wide. (check summary tab)","Standard not applicable."),"")</f>
        <v/>
      </c>
      <c r="D70" s="389"/>
      <c r="E70" s="389"/>
      <c r="F70" s="389"/>
      <c r="G70" s="390"/>
      <c r="K70" s="24"/>
      <c r="L70" s="13"/>
      <c r="M70" s="13"/>
      <c r="N70" s="13"/>
      <c r="O70" s="13"/>
    </row>
    <row r="71" spans="1:15" ht="101.4" customHeight="1" thickBot="1" x14ac:dyDescent="0.35">
      <c r="A71" s="222" t="s">
        <v>167</v>
      </c>
      <c r="B71" s="412"/>
      <c r="C71" s="412"/>
      <c r="D71" s="412"/>
      <c r="E71" s="412"/>
      <c r="F71" s="412"/>
      <c r="G71" s="413"/>
      <c r="K71" s="24"/>
      <c r="L71" s="6"/>
      <c r="M71" s="13"/>
      <c r="N71" s="13"/>
      <c r="O71" s="13"/>
    </row>
    <row r="72" spans="1:15" ht="75" customHeight="1" thickBot="1" x14ac:dyDescent="0.35">
      <c r="A72" s="269"/>
      <c r="B72" s="270"/>
      <c r="C72" s="270"/>
      <c r="D72" s="270"/>
      <c r="E72" s="270"/>
      <c r="F72" s="270"/>
      <c r="G72" s="270"/>
      <c r="K72" s="24"/>
      <c r="L72" s="6"/>
      <c r="M72" s="13"/>
      <c r="N72" s="13"/>
      <c r="O72" s="13"/>
    </row>
    <row r="73" spans="1:15" ht="15.6" x14ac:dyDescent="0.3">
      <c r="A73" s="56" t="s">
        <v>95</v>
      </c>
      <c r="B73" s="57"/>
      <c r="C73" s="57"/>
      <c r="D73" s="57"/>
      <c r="E73" s="178">
        <v>1</v>
      </c>
      <c r="F73" s="178">
        <v>1</v>
      </c>
      <c r="G73" s="58"/>
      <c r="K73" s="24"/>
      <c r="L73" s="6"/>
      <c r="M73" s="13"/>
      <c r="N73" s="13"/>
      <c r="O73" s="13"/>
    </row>
    <row r="74" spans="1:15" ht="15" customHeight="1" x14ac:dyDescent="0.3">
      <c r="A74" s="91"/>
      <c r="B74" s="7" t="s">
        <v>233</v>
      </c>
      <c r="C74" s="13"/>
      <c r="D74" s="13"/>
      <c r="E74" s="13"/>
      <c r="F74" s="7" t="s">
        <v>236</v>
      </c>
      <c r="G74" s="60"/>
      <c r="K74" s="24"/>
      <c r="L74" s="6"/>
      <c r="M74" s="13"/>
      <c r="N74" s="13"/>
      <c r="O74" s="13"/>
    </row>
    <row r="75" spans="1:15" ht="16.2" x14ac:dyDescent="0.35">
      <c r="A75" s="67" t="s">
        <v>221</v>
      </c>
      <c r="B75" s="265">
        <f>IF(F27+F28=0,0,(0.05+0.9*(G27+G28))*1*F32/12)</f>
        <v>0</v>
      </c>
      <c r="C75" s="373" t="s">
        <v>235</v>
      </c>
      <c r="D75" s="374"/>
      <c r="E75" s="75">
        <f>G35</f>
        <v>0</v>
      </c>
      <c r="G75" s="60"/>
      <c r="K75" s="24"/>
      <c r="L75" s="6"/>
      <c r="M75" s="13"/>
      <c r="N75" s="13"/>
      <c r="O75" s="13"/>
    </row>
    <row r="76" spans="1:15" ht="30" customHeight="1" x14ac:dyDescent="0.3">
      <c r="A76" s="61" t="s">
        <v>222</v>
      </c>
      <c r="B76" s="265">
        <f>IF(F30=0,0,IF(F73=2,IF(E76&gt;25%,0,(0.05+0.9*G30)*1*F32/12*(50%-2*E76)),(0.05+0.9*G30)*1*F32/12*0.5))</f>
        <v>0</v>
      </c>
      <c r="C76" s="375" t="s">
        <v>234</v>
      </c>
      <c r="D76" s="376"/>
      <c r="E76" s="225">
        <f>G36</f>
        <v>0</v>
      </c>
      <c r="G76" s="226" t="str">
        <f>IF(E76="n/a","",IF(E76&gt;25%,"Max 25% applied",""))</f>
        <v/>
      </c>
      <c r="K76" s="24"/>
      <c r="L76" s="13"/>
      <c r="M76" s="13"/>
      <c r="N76" s="13"/>
      <c r="O76" s="13"/>
    </row>
    <row r="77" spans="1:15" ht="15" customHeight="1" x14ac:dyDescent="0.3">
      <c r="A77" s="59" t="s">
        <v>111</v>
      </c>
      <c r="B77" s="265">
        <f>IF(E73=2,IF(E75&lt;5%,B75+B76,(B75+B76)*(100%-E75)),B75+B76)</f>
        <v>0</v>
      </c>
      <c r="C77" s="377" t="str">
        <f>IF(E73+F73=4,"ERROR! Net Reduction and Redevelopment cannot both apply","")</f>
        <v/>
      </c>
      <c r="D77" s="378"/>
      <c r="E77" s="378"/>
      <c r="F77" s="378"/>
      <c r="G77" s="379"/>
      <c r="K77" s="24"/>
      <c r="L77" s="13"/>
      <c r="M77" s="13"/>
      <c r="N77" s="13"/>
      <c r="O77" s="13"/>
    </row>
    <row r="78" spans="1:15" ht="30" x14ac:dyDescent="0.3">
      <c r="A78" s="302" t="s">
        <v>204</v>
      </c>
      <c r="B78" s="306">
        <f ca="1">IF(C59&gt;C58,C58,C59)</f>
        <v>0</v>
      </c>
      <c r="C78" s="63"/>
      <c r="D78" s="371" t="s">
        <v>209</v>
      </c>
      <c r="E78" s="371"/>
      <c r="F78" s="185"/>
      <c r="G78" s="186">
        <v>1</v>
      </c>
      <c r="K78" s="24"/>
      <c r="L78" s="13"/>
      <c r="M78" s="13"/>
      <c r="N78" s="13"/>
      <c r="O78" s="13"/>
    </row>
    <row r="79" spans="1:15" ht="30.6" customHeight="1" x14ac:dyDescent="0.3">
      <c r="A79" s="224" t="s">
        <v>149</v>
      </c>
      <c r="B79" s="306">
        <f ca="1">IF(G78=2,"N/A",IF(B77-B78&lt;0,0,B77-B78))</f>
        <v>0</v>
      </c>
      <c r="C79" s="63"/>
      <c r="D79" s="223"/>
      <c r="E79" s="223"/>
      <c r="F79" s="13"/>
      <c r="G79" s="64"/>
      <c r="K79" s="24"/>
      <c r="L79" s="13"/>
      <c r="M79" s="13"/>
      <c r="N79" s="13"/>
      <c r="O79" s="13"/>
    </row>
    <row r="80" spans="1:15" ht="10.8" customHeight="1" x14ac:dyDescent="0.3">
      <c r="A80" s="302"/>
      <c r="B80" s="13"/>
      <c r="C80" s="63"/>
      <c r="D80" s="13"/>
      <c r="E80" s="13"/>
      <c r="F80" s="13"/>
      <c r="G80" s="60"/>
      <c r="K80" s="13"/>
      <c r="L80" s="6"/>
      <c r="M80" s="13"/>
      <c r="N80" s="13"/>
      <c r="O80" s="13"/>
    </row>
    <row r="81" spans="1:15" ht="28.8" customHeight="1" x14ac:dyDescent="0.3">
      <c r="A81" s="401" t="str">
        <f>IF(B82="","","NOTE: Please include a copy of the appropriate STP worksheet(s) with the application.")</f>
        <v/>
      </c>
      <c r="B81" s="391" t="s">
        <v>160</v>
      </c>
      <c r="C81" s="392"/>
      <c r="D81" s="393"/>
      <c r="E81" s="297" t="s">
        <v>147</v>
      </c>
      <c r="F81" s="303" t="s">
        <v>138</v>
      </c>
      <c r="G81" s="60"/>
      <c r="K81" s="13"/>
      <c r="L81" s="6"/>
      <c r="M81" s="13"/>
      <c r="N81" s="13"/>
      <c r="O81" s="13"/>
    </row>
    <row r="82" spans="1:15" x14ac:dyDescent="0.3">
      <c r="A82" s="401"/>
      <c r="B82" s="372"/>
      <c r="C82" s="372"/>
      <c r="D82" s="372"/>
      <c r="E82" s="305"/>
      <c r="F82" s="108" t="str">
        <f>IF(B82="","",VLOOKUP(B82,Lookup!$H$13:$I$19,2,FALSE))</f>
        <v/>
      </c>
      <c r="G82" s="60"/>
    </row>
    <row r="83" spans="1:15" x14ac:dyDescent="0.3">
      <c r="A83" s="401"/>
      <c r="B83" s="372"/>
      <c r="C83" s="372"/>
      <c r="D83" s="372"/>
      <c r="E83" s="305"/>
      <c r="F83" s="108" t="str">
        <f>IF(B83="","",VLOOKUP(B83,Lookup!$H$13:$I$19,2,FALSE))</f>
        <v/>
      </c>
      <c r="G83" s="60"/>
    </row>
    <row r="84" spans="1:15" x14ac:dyDescent="0.3">
      <c r="A84" s="401"/>
      <c r="B84" s="372"/>
      <c r="C84" s="372"/>
      <c r="D84" s="372"/>
      <c r="E84" s="305"/>
      <c r="F84" s="108" t="str">
        <f>IF(B84="","",VLOOKUP(B84,Lookup!$H$13:$I$19,2,FALSE))</f>
        <v/>
      </c>
      <c r="G84" s="60"/>
    </row>
    <row r="85" spans="1:15" ht="15.6" x14ac:dyDescent="0.35">
      <c r="A85" s="118"/>
      <c r="B85" s="19"/>
      <c r="C85" s="19"/>
      <c r="D85" s="1" t="s">
        <v>153</v>
      </c>
      <c r="E85" s="307">
        <f>SUM(E82:E84)</f>
        <v>0</v>
      </c>
      <c r="F85" s="13" t="s">
        <v>90</v>
      </c>
      <c r="G85" s="60"/>
    </row>
    <row r="86" spans="1:15" ht="15.6" x14ac:dyDescent="0.35">
      <c r="A86" s="68"/>
      <c r="B86" s="19"/>
      <c r="C86" s="19"/>
      <c r="D86" s="1" t="s">
        <v>203</v>
      </c>
      <c r="E86" s="134" t="str">
        <f ca="1">IF(G78=2,"Yes",IF(ROUND(E85,4)&gt;=ROUND(B79,4),"Yes","No"))</f>
        <v>Yes</v>
      </c>
      <c r="F86" s="13"/>
      <c r="G86" s="60"/>
    </row>
    <row r="87" spans="1:15" ht="14.4" customHeight="1" x14ac:dyDescent="0.3">
      <c r="A87" s="368" t="str">
        <f ca="1">IF(E86="No","NOTE:  Add more water quality practices unless site balancing is being used. (Check summary tab)","")</f>
        <v/>
      </c>
      <c r="B87" s="369"/>
      <c r="C87" s="369"/>
      <c r="D87" s="369"/>
      <c r="E87" s="369"/>
      <c r="F87" s="369"/>
      <c r="G87" s="370"/>
    </row>
    <row r="88" spans="1:15" ht="51.6" customHeight="1" thickBot="1" x14ac:dyDescent="0.35">
      <c r="A88" s="239" t="s">
        <v>168</v>
      </c>
      <c r="B88" s="414"/>
      <c r="C88" s="414"/>
      <c r="D88" s="414"/>
      <c r="E88" s="414"/>
      <c r="F88" s="414"/>
      <c r="G88" s="414"/>
    </row>
    <row r="89" spans="1:15" ht="15.6" x14ac:dyDescent="0.3">
      <c r="A89" s="56" t="s">
        <v>96</v>
      </c>
      <c r="B89" s="57"/>
      <c r="C89" s="57"/>
      <c r="D89" s="57"/>
      <c r="E89" s="178">
        <v>1</v>
      </c>
      <c r="F89" s="178">
        <v>1</v>
      </c>
      <c r="G89" s="58"/>
    </row>
    <row r="90" spans="1:15" ht="29.4" customHeight="1" x14ac:dyDescent="0.3">
      <c r="A90" s="59" t="s">
        <v>77</v>
      </c>
      <c r="B90" s="125"/>
      <c r="C90" s="364" t="str">
        <f>IF(F89=2,"Waiver (if No is selected):","")</f>
        <v/>
      </c>
      <c r="D90" s="364"/>
      <c r="E90" s="380"/>
      <c r="F90" s="380"/>
      <c r="G90" s="60"/>
      <c r="M90" s="41"/>
    </row>
    <row r="91" spans="1:15" s="49" customFormat="1" ht="37.200000000000003" customHeight="1" x14ac:dyDescent="0.3">
      <c r="A91" s="59" t="s">
        <v>80</v>
      </c>
      <c r="B91" s="27" t="str">
        <f>D61</f>
        <v>Yes</v>
      </c>
      <c r="C91" s="348"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been fully met with hydrologic condition method. Additional treatment of the 1 year storm is not required.</v>
      </c>
      <c r="D91" s="349"/>
      <c r="E91" s="349"/>
      <c r="F91" s="349"/>
      <c r="G91" s="350"/>
    </row>
    <row r="92" spans="1:15" s="49" customFormat="1" ht="31.2" customHeight="1" x14ac:dyDescent="0.3">
      <c r="A92" s="61" t="s">
        <v>81</v>
      </c>
      <c r="B92" s="62" t="str">
        <f>IF(D60&gt;0,D45-D59,"n/a")</f>
        <v>n/a</v>
      </c>
      <c r="C92" s="54" t="s">
        <v>90</v>
      </c>
      <c r="D92" s="31"/>
      <c r="E92" s="13"/>
      <c r="F92" s="63"/>
      <c r="G92" s="64"/>
    </row>
    <row r="93" spans="1:15" ht="34.799999999999997" customHeight="1" x14ac:dyDescent="0.3">
      <c r="A93" s="61" t="s">
        <v>92</v>
      </c>
      <c r="B93" s="125"/>
      <c r="C93" s="65" t="s">
        <v>94</v>
      </c>
      <c r="D93" s="304" t="s">
        <v>93</v>
      </c>
      <c r="E93" s="363" t="str">
        <f>IF(E89=1,"12 hours of extended detention","24 hours of extended detention")</f>
        <v>12 hours of extended detention</v>
      </c>
      <c r="F93" s="363"/>
      <c r="G93" s="60"/>
    </row>
    <row r="94" spans="1:15" ht="15" customHeight="1" x14ac:dyDescent="0.3">
      <c r="A94" s="381" t="str">
        <f>HYPERLINK("http://dec.vermont.gov/sites/dec/files/documents/wsmd_water_quality_standards_2016.pdf", "See the Vermont Water Quality Standards for warm and cold water designations")</f>
        <v>See the Vermont Water Quality Standards for warm and cold water designations</v>
      </c>
      <c r="B94" s="382"/>
      <c r="C94" s="382"/>
      <c r="D94" s="13"/>
      <c r="E94" s="358" t="s">
        <v>150</v>
      </c>
      <c r="F94" s="358"/>
      <c r="G94" s="179" t="b">
        <v>0</v>
      </c>
    </row>
    <row r="95" spans="1:15" ht="14.4" customHeight="1" x14ac:dyDescent="0.3">
      <c r="A95" s="381"/>
      <c r="B95" s="382"/>
      <c r="C95" s="382"/>
      <c r="D95" s="13"/>
      <c r="E95" s="359" t="s">
        <v>182</v>
      </c>
      <c r="F95" s="359"/>
      <c r="G95" s="360"/>
    </row>
    <row r="96" spans="1:15" x14ac:dyDescent="0.3">
      <c r="A96" s="299"/>
      <c r="B96" s="300"/>
      <c r="C96" s="13"/>
      <c r="D96" s="13"/>
      <c r="E96" s="359"/>
      <c r="F96" s="359"/>
      <c r="G96" s="360"/>
    </row>
    <row r="97" spans="1:7" x14ac:dyDescent="0.3">
      <c r="A97" s="66" t="s">
        <v>151</v>
      </c>
      <c r="B97" s="418"/>
      <c r="C97" s="419"/>
      <c r="D97" s="13"/>
      <c r="E97" s="183"/>
      <c r="F97" s="361" t="str">
        <f>IF(G94=TRUE,"detention time (hrs)","")</f>
        <v/>
      </c>
      <c r="G97" s="362"/>
    </row>
    <row r="98" spans="1:7" ht="11.4" customHeight="1" x14ac:dyDescent="0.3">
      <c r="A98" s="66"/>
      <c r="B98" s="55"/>
      <c r="C98" s="55"/>
      <c r="D98" s="13"/>
      <c r="E98" s="13"/>
      <c r="F98" s="13"/>
      <c r="G98" s="60"/>
    </row>
    <row r="99" spans="1:7" ht="45.6" customHeight="1" x14ac:dyDescent="0.3">
      <c r="A99" s="343" t="s">
        <v>210</v>
      </c>
      <c r="B99" s="344"/>
      <c r="C99" s="344"/>
      <c r="D99" s="344"/>
      <c r="E99" s="344"/>
      <c r="F99" s="344"/>
      <c r="G99" s="345"/>
    </row>
    <row r="100" spans="1:7" s="49" customFormat="1" ht="31.2" customHeight="1" x14ac:dyDescent="0.3">
      <c r="A100" s="59" t="s">
        <v>91</v>
      </c>
      <c r="B100" s="128" t="str">
        <f>D64</f>
        <v>n/a</v>
      </c>
      <c r="C100" s="383" t="s">
        <v>223</v>
      </c>
      <c r="D100" s="384"/>
      <c r="E100" s="129">
        <f>IF(E41=0,0,(F41^0.8)*(((1000/IF(B100&gt;95,95,IF(B100&lt;50,50,B100)))-9)^0.7)/(1140*E41^0.5)*60)</f>
        <v>0</v>
      </c>
      <c r="F100" s="73" t="s">
        <v>102</v>
      </c>
      <c r="G100" s="64"/>
    </row>
    <row r="101" spans="1:7" ht="49.2" customHeight="1" thickBot="1" x14ac:dyDescent="0.35">
      <c r="A101" s="222" t="s">
        <v>169</v>
      </c>
      <c r="B101" s="365"/>
      <c r="C101" s="366"/>
      <c r="D101" s="366"/>
      <c r="E101" s="366"/>
      <c r="F101" s="366"/>
      <c r="G101" s="367"/>
    </row>
    <row r="102" spans="1:7" ht="18" x14ac:dyDescent="0.4">
      <c r="A102" s="56" t="s">
        <v>97</v>
      </c>
      <c r="B102" s="57"/>
      <c r="C102" s="57"/>
      <c r="D102" s="57"/>
      <c r="E102" s="57"/>
      <c r="F102" s="178">
        <v>1</v>
      </c>
      <c r="G102" s="58"/>
    </row>
    <row r="103" spans="1:7" ht="29.4" customHeight="1" x14ac:dyDescent="0.3">
      <c r="A103" s="59" t="s">
        <v>77</v>
      </c>
      <c r="B103" s="127"/>
      <c r="C103" s="364" t="str">
        <f>IF(F102=1,"","Waiver (if No is selected):")</f>
        <v/>
      </c>
      <c r="D103" s="364"/>
      <c r="E103" s="380"/>
      <c r="F103" s="380"/>
      <c r="G103" s="60"/>
    </row>
    <row r="104" spans="1:7" ht="43.2" customHeight="1" x14ac:dyDescent="0.3">
      <c r="A104" s="59" t="s">
        <v>80</v>
      </c>
      <c r="B104" s="27" t="str">
        <f>E61</f>
        <v>Yes</v>
      </c>
      <c r="C104" s="348"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been fully met.  No additional STPs are required.</v>
      </c>
      <c r="D104" s="349"/>
      <c r="E104" s="349"/>
      <c r="F104" s="349"/>
      <c r="G104" s="350"/>
    </row>
    <row r="105" spans="1:7" x14ac:dyDescent="0.3">
      <c r="A105" s="68" t="s">
        <v>104</v>
      </c>
      <c r="B105" s="357"/>
      <c r="C105" s="357"/>
      <c r="D105" s="357"/>
      <c r="E105" s="357"/>
      <c r="F105" s="357"/>
      <c r="G105" s="60"/>
    </row>
    <row r="106" spans="1:7" x14ac:dyDescent="0.3">
      <c r="A106" s="14"/>
      <c r="B106" s="13"/>
      <c r="C106" s="20" t="s">
        <v>105</v>
      </c>
      <c r="D106" s="176"/>
      <c r="E106" s="13"/>
      <c r="F106" s="13"/>
      <c r="G106" s="60"/>
    </row>
    <row r="107" spans="1:7" x14ac:dyDescent="0.3">
      <c r="A107" s="14"/>
      <c r="B107" s="13"/>
      <c r="C107" s="20" t="s">
        <v>107</v>
      </c>
      <c r="D107" s="176"/>
      <c r="E107" s="13"/>
      <c r="F107" s="13"/>
      <c r="G107" s="60"/>
    </row>
    <row r="108" spans="1:7" x14ac:dyDescent="0.3">
      <c r="A108" s="14"/>
      <c r="B108" s="13"/>
      <c r="C108" s="20" t="s">
        <v>106</v>
      </c>
      <c r="D108" s="176"/>
      <c r="E108" s="13"/>
      <c r="F108" s="13"/>
      <c r="G108" s="60"/>
    </row>
    <row r="109" spans="1:7" x14ac:dyDescent="0.3">
      <c r="A109" s="14"/>
      <c r="B109" s="13"/>
      <c r="C109" s="20"/>
      <c r="D109" s="19"/>
      <c r="E109" s="13"/>
      <c r="F109" s="13"/>
      <c r="G109" s="60"/>
    </row>
    <row r="110" spans="1:7" ht="46.8" customHeight="1" x14ac:dyDescent="0.3">
      <c r="A110" s="343" t="s">
        <v>211</v>
      </c>
      <c r="B110" s="344"/>
      <c r="C110" s="344"/>
      <c r="D110" s="344"/>
      <c r="E110" s="344"/>
      <c r="F110" s="344"/>
      <c r="G110" s="345"/>
    </row>
    <row r="111" spans="1:7" ht="28.8" customHeight="1" x14ac:dyDescent="0.3">
      <c r="A111" s="194" t="s">
        <v>224</v>
      </c>
      <c r="B111" s="71" t="str">
        <f>E65</f>
        <v>n/a</v>
      </c>
      <c r="C111" s="420" t="s">
        <v>225</v>
      </c>
      <c r="D111" s="421"/>
      <c r="E111" s="72">
        <f>IF(E40=0,0,(F40^0.8)*(((1000/IF(B111&gt;95,95,IF(B111&lt;50,50,B111)))-9)^0.7)/(1140*E40^0.5)*60)</f>
        <v>0</v>
      </c>
      <c r="F111" s="346" t="s">
        <v>102</v>
      </c>
      <c r="G111" s="298"/>
    </row>
    <row r="112" spans="1:7" ht="28.8" customHeight="1" x14ac:dyDescent="0.3">
      <c r="A112" s="59" t="s">
        <v>91</v>
      </c>
      <c r="B112" s="71" t="str">
        <f>E64</f>
        <v>n/a</v>
      </c>
      <c r="C112" s="383" t="s">
        <v>223</v>
      </c>
      <c r="D112" s="384"/>
      <c r="E112" s="72">
        <f>IF(E41=0,0,(F41^0.8)*(((1000/IF(B112&gt;95,95,IF(B112&lt;50,50,B112)))-9)^0.7)/(1140*E41^0.5)*60)</f>
        <v>0</v>
      </c>
      <c r="F112" s="347"/>
      <c r="G112" s="64"/>
    </row>
    <row r="113" spans="1:7" ht="57.6" customHeight="1" thickBot="1" x14ac:dyDescent="0.35">
      <c r="A113" s="124" t="s">
        <v>170</v>
      </c>
      <c r="B113" s="365"/>
      <c r="C113" s="366"/>
      <c r="D113" s="366"/>
      <c r="E113" s="366"/>
      <c r="F113" s="366"/>
      <c r="G113" s="367"/>
    </row>
    <row r="114" spans="1:7" ht="18" x14ac:dyDescent="0.4">
      <c r="A114" s="56" t="s">
        <v>108</v>
      </c>
      <c r="B114" s="57"/>
      <c r="C114" s="57"/>
      <c r="D114" s="57"/>
      <c r="E114" s="57"/>
      <c r="F114" s="178">
        <v>1</v>
      </c>
      <c r="G114" s="58"/>
    </row>
    <row r="115" spans="1:7" ht="28.8" customHeight="1" x14ac:dyDescent="0.3">
      <c r="A115" s="59" t="s">
        <v>77</v>
      </c>
      <c r="B115" s="126"/>
      <c r="C115" s="364" t="str">
        <f>IF(F114=1,"","Waiver (if No is selected):")</f>
        <v/>
      </c>
      <c r="D115" s="364"/>
      <c r="E115" s="380"/>
      <c r="F115" s="380"/>
      <c r="G115" s="60"/>
    </row>
    <row r="116" spans="1:7" ht="43.2" customHeight="1" x14ac:dyDescent="0.3">
      <c r="A116" s="59" t="s">
        <v>80</v>
      </c>
      <c r="B116" s="27" t="str">
        <f>F61</f>
        <v>Yes</v>
      </c>
      <c r="C116" s="348"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flood standard has been fully met.  No additional STPs are required.</v>
      </c>
      <c r="D116" s="349"/>
      <c r="E116" s="349"/>
      <c r="F116" s="349"/>
      <c r="G116" s="350"/>
    </row>
    <row r="117" spans="1:7" x14ac:dyDescent="0.3">
      <c r="A117" s="68" t="s">
        <v>104</v>
      </c>
      <c r="B117" s="424"/>
      <c r="C117" s="424"/>
      <c r="D117" s="424"/>
      <c r="E117" s="424"/>
      <c r="F117" s="424"/>
      <c r="G117" s="60"/>
    </row>
    <row r="118" spans="1:7" x14ac:dyDescent="0.3">
      <c r="A118" s="14"/>
      <c r="B118" s="13"/>
      <c r="C118" s="20" t="s">
        <v>105</v>
      </c>
      <c r="D118" s="177"/>
      <c r="E118" s="13"/>
      <c r="F118" s="13"/>
      <c r="G118" s="60"/>
    </row>
    <row r="119" spans="1:7" x14ac:dyDescent="0.3">
      <c r="A119" s="14"/>
      <c r="B119" s="13"/>
      <c r="C119" s="20" t="s">
        <v>107</v>
      </c>
      <c r="D119" s="177"/>
      <c r="E119" s="13"/>
      <c r="F119" s="13"/>
      <c r="G119" s="60"/>
    </row>
    <row r="120" spans="1:7" x14ac:dyDescent="0.3">
      <c r="A120" s="14"/>
      <c r="B120" s="13"/>
      <c r="C120" s="20" t="s">
        <v>106</v>
      </c>
      <c r="D120" s="177"/>
      <c r="E120" s="13"/>
      <c r="F120" s="13"/>
      <c r="G120" s="60"/>
    </row>
    <row r="121" spans="1:7" x14ac:dyDescent="0.3">
      <c r="A121" s="14"/>
      <c r="B121" s="13"/>
      <c r="C121" s="13"/>
      <c r="D121" s="13"/>
      <c r="E121" s="13"/>
      <c r="F121" s="13"/>
      <c r="G121" s="60"/>
    </row>
    <row r="122" spans="1:7" ht="45.6" customHeight="1" x14ac:dyDescent="0.3">
      <c r="A122" s="343" t="s">
        <v>215</v>
      </c>
      <c r="B122" s="344"/>
      <c r="C122" s="344"/>
      <c r="D122" s="344"/>
      <c r="E122" s="344"/>
      <c r="F122" s="344"/>
      <c r="G122" s="345"/>
    </row>
    <row r="123" spans="1:7" ht="32.4" customHeight="1" x14ac:dyDescent="0.3">
      <c r="A123" s="194" t="s">
        <v>224</v>
      </c>
      <c r="B123" s="71" t="str">
        <f>F65</f>
        <v>n/a</v>
      </c>
      <c r="C123" s="420" t="s">
        <v>225</v>
      </c>
      <c r="D123" s="421"/>
      <c r="E123" s="72">
        <f>IF(E40=0,0,(F40^0.8)*(((1000/IF(B123&gt;95,95,IF(B123&lt;50,50,B123)))-9)^0.7)/(1140*E40^0.5)*60)</f>
        <v>0</v>
      </c>
      <c r="F123" s="422" t="s">
        <v>102</v>
      </c>
      <c r="G123" s="298"/>
    </row>
    <row r="124" spans="1:7" ht="28.8" customHeight="1" x14ac:dyDescent="0.3">
      <c r="A124" s="59" t="s">
        <v>91</v>
      </c>
      <c r="B124" s="71" t="str">
        <f>F64</f>
        <v>n/a</v>
      </c>
      <c r="C124" s="383" t="s">
        <v>223</v>
      </c>
      <c r="D124" s="384"/>
      <c r="E124" s="72">
        <f>IF(E41=0,0,(F41^0.8)*(((1000/IF(B124&gt;95,95,IF(B124&lt;50,50,B124)))-9)^0.7)/(1140*E41^0.5)*60)</f>
        <v>0</v>
      </c>
      <c r="F124" s="423"/>
      <c r="G124" s="64"/>
    </row>
    <row r="125" spans="1:7" ht="57.6" customHeight="1" thickBot="1" x14ac:dyDescent="0.35">
      <c r="A125" s="124" t="s">
        <v>171</v>
      </c>
      <c r="B125" s="365"/>
      <c r="C125" s="366"/>
      <c r="D125" s="366"/>
      <c r="E125" s="366"/>
      <c r="F125" s="366"/>
      <c r="G125" s="367"/>
    </row>
  </sheetData>
  <sheetProtection algorithmName="SHA-512" hashValue="8P24TXDWPemMX282kv+Sqzfx8ihnEutnWaMmLYlgSNGS13To7p3sZrDUGjnyTPDD9gBR75UUkXCUC30t4frlQw==" saltValue="ZRNLQnh/64LxmMNuTk7MLA==" spinCount="100000" sheet="1" objects="1" scenarios="1"/>
  <dataConsolidate/>
  <mergeCells count="67">
    <mergeCell ref="A38:G38"/>
    <mergeCell ref="D2:F2"/>
    <mergeCell ref="D3:F3"/>
    <mergeCell ref="D4:F4"/>
    <mergeCell ref="D5:F5"/>
    <mergeCell ref="D6:F6"/>
    <mergeCell ref="B8:D8"/>
    <mergeCell ref="A13:F13"/>
    <mergeCell ref="G14:G15"/>
    <mergeCell ref="A21:G21"/>
    <mergeCell ref="A22:F22"/>
    <mergeCell ref="B31:E31"/>
    <mergeCell ref="E68:F68"/>
    <mergeCell ref="A39:B41"/>
    <mergeCell ref="A44:C44"/>
    <mergeCell ref="A45:C45"/>
    <mergeCell ref="A48:G48"/>
    <mergeCell ref="C49:D49"/>
    <mergeCell ref="C50:D50"/>
    <mergeCell ref="C51:D51"/>
    <mergeCell ref="C52:D52"/>
    <mergeCell ref="C53:D53"/>
    <mergeCell ref="C54:D54"/>
    <mergeCell ref="C68:D68"/>
    <mergeCell ref="A87:G87"/>
    <mergeCell ref="C70:G70"/>
    <mergeCell ref="B71:G71"/>
    <mergeCell ref="C75:D75"/>
    <mergeCell ref="C76:D76"/>
    <mergeCell ref="C77:G77"/>
    <mergeCell ref="D78:E78"/>
    <mergeCell ref="A81:A84"/>
    <mergeCell ref="B81:D81"/>
    <mergeCell ref="B82:D82"/>
    <mergeCell ref="B83:D83"/>
    <mergeCell ref="B84:D84"/>
    <mergeCell ref="C103:D103"/>
    <mergeCell ref="E103:F103"/>
    <mergeCell ref="B88:G88"/>
    <mergeCell ref="C90:D90"/>
    <mergeCell ref="E90:F90"/>
    <mergeCell ref="C91:G91"/>
    <mergeCell ref="E93:F93"/>
    <mergeCell ref="A94:C95"/>
    <mergeCell ref="E94:F94"/>
    <mergeCell ref="E95:G96"/>
    <mergeCell ref="B97:C97"/>
    <mergeCell ref="F97:G97"/>
    <mergeCell ref="A99:G99"/>
    <mergeCell ref="C100:D100"/>
    <mergeCell ref="B101:G101"/>
    <mergeCell ref="C104:G104"/>
    <mergeCell ref="B105:F105"/>
    <mergeCell ref="A110:G110"/>
    <mergeCell ref="C111:D111"/>
    <mergeCell ref="F111:F112"/>
    <mergeCell ref="C112:D112"/>
    <mergeCell ref="C123:D123"/>
    <mergeCell ref="F123:F124"/>
    <mergeCell ref="C124:D124"/>
    <mergeCell ref="B125:G125"/>
    <mergeCell ref="B113:G113"/>
    <mergeCell ref="C115:D115"/>
    <mergeCell ref="E115:F115"/>
    <mergeCell ref="C116:G116"/>
    <mergeCell ref="B117:F117"/>
    <mergeCell ref="A122:G122"/>
  </mergeCells>
  <conditionalFormatting sqref="E68:F68">
    <cfRule type="expression" dxfId="147" priority="36">
      <formula>$F$67=2</formula>
    </cfRule>
  </conditionalFormatting>
  <conditionalFormatting sqref="E90:F90">
    <cfRule type="expression" dxfId="146" priority="35">
      <formula>$F$89=2</formula>
    </cfRule>
  </conditionalFormatting>
  <conditionalFormatting sqref="E103:F103">
    <cfRule type="expression" dxfId="145" priority="34">
      <formula>$F$102=2</formula>
    </cfRule>
  </conditionalFormatting>
  <conditionalFormatting sqref="E115:F115">
    <cfRule type="expression" dxfId="144" priority="33">
      <formula>$F$114=2</formula>
    </cfRule>
  </conditionalFormatting>
  <conditionalFormatting sqref="B105:F105 D108">
    <cfRule type="expression" dxfId="143" priority="32">
      <formula>$F$102=1</formula>
    </cfRule>
  </conditionalFormatting>
  <conditionalFormatting sqref="D106">
    <cfRule type="expression" dxfId="142" priority="31">
      <formula>$F$102=1</formula>
    </cfRule>
  </conditionalFormatting>
  <conditionalFormatting sqref="B117:F117 D120">
    <cfRule type="expression" dxfId="141" priority="30">
      <formula>$F$114=1</formula>
    </cfRule>
  </conditionalFormatting>
  <conditionalFormatting sqref="B82:D82 B83:B84 E82:E84">
    <cfRule type="expression" dxfId="140" priority="37">
      <formula>$F$79&gt;0</formula>
    </cfRule>
  </conditionalFormatting>
  <conditionalFormatting sqref="E97">
    <cfRule type="expression" dxfId="139" priority="29">
      <formula>$G$94=TRUE</formula>
    </cfRule>
  </conditionalFormatting>
  <conditionalFormatting sqref="D119">
    <cfRule type="expression" dxfId="138" priority="28">
      <formula>$F$114=1</formula>
    </cfRule>
  </conditionalFormatting>
  <conditionalFormatting sqref="D118">
    <cfRule type="expression" dxfId="137" priority="27">
      <formula>$F$114=1</formula>
    </cfRule>
  </conditionalFormatting>
  <conditionalFormatting sqref="D107">
    <cfRule type="expression" dxfId="136" priority="26">
      <formula>$F$102=1</formula>
    </cfRule>
  </conditionalFormatting>
  <conditionalFormatting sqref="C64">
    <cfRule type="expression" dxfId="135" priority="25">
      <formula>$C$64="n/a"</formula>
    </cfRule>
  </conditionalFormatting>
  <conditionalFormatting sqref="B82:E84">
    <cfRule type="expression" dxfId="134" priority="24">
      <formula>$F$79="N/A"</formula>
    </cfRule>
  </conditionalFormatting>
  <conditionalFormatting sqref="C61">
    <cfRule type="expression" dxfId="133" priority="21">
      <formula>C61="n/a"</formula>
    </cfRule>
    <cfRule type="expression" dxfId="132" priority="22">
      <formula>C61="No"</formula>
    </cfRule>
    <cfRule type="expression" dxfId="131" priority="23">
      <formula>C61="Yes"</formula>
    </cfRule>
  </conditionalFormatting>
  <conditionalFormatting sqref="B61">
    <cfRule type="expression" dxfId="130" priority="18">
      <formula>B61="n/a"</formula>
    </cfRule>
    <cfRule type="expression" dxfId="129" priority="19">
      <formula>B61="No"</formula>
    </cfRule>
    <cfRule type="expression" dxfId="128" priority="20">
      <formula>B61="Yes"</formula>
    </cfRule>
  </conditionalFormatting>
  <conditionalFormatting sqref="D61:F61">
    <cfRule type="expression" dxfId="127" priority="15">
      <formula>D61="n/a"</formula>
    </cfRule>
    <cfRule type="expression" dxfId="126" priority="16">
      <formula>D61="No"</formula>
    </cfRule>
    <cfRule type="expression" dxfId="125" priority="17">
      <formula>D61="Yes"</formula>
    </cfRule>
  </conditionalFormatting>
  <conditionalFormatting sqref="B70">
    <cfRule type="expression" dxfId="124" priority="12">
      <formula>B70="n/a"</formula>
    </cfRule>
    <cfRule type="expression" dxfId="123" priority="13">
      <formula>B70="No"</formula>
    </cfRule>
    <cfRule type="expression" dxfId="122" priority="14">
      <formula>B70="Yes"</formula>
    </cfRule>
  </conditionalFormatting>
  <conditionalFormatting sqref="B91">
    <cfRule type="expression" dxfId="121" priority="9">
      <formula>B91="n/a"</formula>
    </cfRule>
    <cfRule type="expression" dxfId="120" priority="10">
      <formula>B91="No"</formula>
    </cfRule>
    <cfRule type="expression" dxfId="119" priority="11">
      <formula>B91="Yes"</formula>
    </cfRule>
  </conditionalFormatting>
  <conditionalFormatting sqref="B104">
    <cfRule type="expression" dxfId="118" priority="6">
      <formula>B104="n/a"</formula>
    </cfRule>
    <cfRule type="expression" dxfId="117" priority="7">
      <formula>B104="No"</formula>
    </cfRule>
    <cfRule type="expression" dxfId="116" priority="8">
      <formula>B104="Yes"</formula>
    </cfRule>
  </conditionalFormatting>
  <conditionalFormatting sqref="B116">
    <cfRule type="expression" dxfId="115" priority="3">
      <formula>B116="n/a"</formula>
    </cfRule>
    <cfRule type="expression" dxfId="114" priority="4">
      <formula>B116="No"</formula>
    </cfRule>
    <cfRule type="expression" dxfId="113" priority="5">
      <formula>B116="Yes"</formula>
    </cfRule>
  </conditionalFormatting>
  <conditionalFormatting sqref="F75">
    <cfRule type="expression" dxfId="112" priority="2">
      <formula>$E$75&gt;=5%</formula>
    </cfRule>
  </conditionalFormatting>
  <conditionalFormatting sqref="F76">
    <cfRule type="expression" dxfId="111" priority="1">
      <formula>$E$76&gt;0</formula>
    </cfRule>
  </conditionalFormatting>
  <dataValidations count="2">
    <dataValidation type="decimal" allowBlank="1" showInputMessage="1" showErrorMessage="1" errorTitle="Invalid Latitude!" error="You've entered a latitude that is not in Vermont." sqref="D5:F5" xr:uid="{724367F9-5EC4-4A57-83EE-AC607A711BC6}">
      <formula1>42.72</formula1>
      <formula2>45.02</formula2>
    </dataValidation>
    <dataValidation type="decimal" allowBlank="1" showInputMessage="1" showErrorMessage="1" errorTitle="Invalid Longitude" error="You've entered a longitude outside of Vermont.  Longitude values in VT should always be negative." sqref="D6:F6" xr:uid="{85A10B0A-675B-43EB-BF81-CA1F2481E8F0}">
      <formula1>-73.732</formula1>
      <formula2>-71.46</formula2>
    </dataValidation>
  </dataValidations>
  <hyperlinks>
    <hyperlink ref="E8" r:id="rId1" xr:uid="{B35D3FE6-A0E1-4848-871C-C5B891980136}"/>
  </hyperlinks>
  <pageMargins left="0.5" right="0.5" top="0.75" bottom="0.75" header="0.3" footer="0.3"/>
  <pageSetup orientation="portrait" r:id="rId2"/>
  <headerFooter>
    <oddHeader>&amp;C&amp;"-,Bold"&amp;14Vermont Operational Stormwater Permit - Standards Compliance Workbook</oddHeader>
    <oddFooter>&amp;LLast Updated 11/20/2017
&amp;R&amp;A: 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35169" r:id="rId5" name="Group Box 1">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35170" r:id="rId6" name="Option Button 2">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35171" r:id="rId7" name="Option Button 3">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35172" r:id="rId8" name="Group Box 4">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35173" r:id="rId9" name="Option Button 5">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35174" r:id="rId10" name="Option Button 6">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35175" r:id="rId11" name="Group Box 7">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35176" r:id="rId12" name="Option Button 8">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35177" r:id="rId13" name="Option Button 9">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35178" r:id="rId14" name="Group Box 10">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35179" r:id="rId15" name="Option Button 11">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35180" r:id="rId16" name="Option Button 12">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35181" r:id="rId17" name="Group Box 13">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35182" r:id="rId18" name="Option Button 14">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35183" r:id="rId19" name="Option Button 15">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35184" r:id="rId20" name="Check Box 16">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35185" r:id="rId21" name="Group Box 17">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35186" r:id="rId22" name="Option Button 18">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35187" r:id="rId23" name="Option Button 19">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35188" r:id="rId24" name="Group Box 20">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35189" r:id="rId25" name="Group Box 2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35190" r:id="rId26" name="Option Button 2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35191" r:id="rId27" name="Option Button 2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35192" r:id="rId28" name="Option Button 24">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35193" r:id="rId29" name="Option Button 25">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951A0BD8-F23D-451F-971D-66E473CF9E7B}">
          <x14:formula1>
            <xm:f>Lookup!$G$11:$G$23</xm:f>
          </x14:formula1>
          <xm:sqref>A50:A54 C50:D54</xm:sqref>
        </x14:dataValidation>
        <x14:dataValidation type="list" allowBlank="1" showInputMessage="1" showErrorMessage="1" xr:uid="{72FDA63B-26BA-4702-92DF-D024D05EA2FF}">
          <x14:formula1>
            <xm:f>Lookup!$G$12:$G$23</xm:f>
          </x14:formula1>
          <xm:sqref>A55</xm:sqref>
        </x14:dataValidation>
        <x14:dataValidation type="list" allowBlank="1" showInputMessage="1" showErrorMessage="1" xr:uid="{7EDFAE19-431A-49B8-B1EE-D514CAFB6719}">
          <x14:formula1>
            <xm:f>Lookup!$H$13:$H$19</xm:f>
          </x14:formula1>
          <xm:sqref>C82:D82 B82:B84</xm:sqref>
        </x14:dataValidation>
        <x14:dataValidation type="list" allowBlank="1" showInputMessage="1" showErrorMessage="1" xr:uid="{1386DA44-B053-4501-A8E6-2C03414150ED}">
          <x14:formula1>
            <xm:f>Lookup!$J$4:$J$8</xm:f>
          </x14:formula1>
          <xm:sqref>E115:F115</xm:sqref>
        </x14:dataValidation>
        <x14:dataValidation type="list" allowBlank="1" showInputMessage="1" showErrorMessage="1" xr:uid="{11BC6998-AD8B-47AA-B339-47F23BC454F3}">
          <x14:formula1>
            <xm:f>Lookup!$I$4:$I$8</xm:f>
          </x14:formula1>
          <xm:sqref>E103:F103</xm:sqref>
        </x14:dataValidation>
        <x14:dataValidation type="list" allowBlank="1" showInputMessage="1" showErrorMessage="1" xr:uid="{69B5452E-F2ED-487E-85C0-14C9244A77FE}">
          <x14:formula1>
            <xm:f>Lookup!$H$4:$H$7</xm:f>
          </x14:formula1>
          <xm:sqref>E90:F90</xm:sqref>
        </x14:dataValidation>
        <x14:dataValidation type="list" allowBlank="1" showInputMessage="1" showErrorMessage="1" xr:uid="{C146F62C-78AE-4518-AEAD-03391E1FC43E}">
          <x14:formula1>
            <xm:f>Lookup!$G$3:$G$6</xm:f>
          </x14:formula1>
          <xm:sqref>E68:F68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F0852-BB8C-4788-8541-310FC0078BB7}">
  <dimension ref="A1:O125"/>
  <sheetViews>
    <sheetView view="pageLayout" zoomScaleNormal="100" workbookViewId="0">
      <selection activeCell="B79" sqref="B79"/>
    </sheetView>
  </sheetViews>
  <sheetFormatPr defaultRowHeight="14.4" x14ac:dyDescent="0.3"/>
  <cols>
    <col min="1" max="1" width="21.88671875" style="181" customWidth="1"/>
    <col min="2" max="6" width="12.21875" style="181" customWidth="1"/>
    <col min="7" max="7" width="7.21875" style="181" customWidth="1"/>
    <col min="8" max="8" width="8.88671875" style="181"/>
    <col min="9" max="9" width="8.6640625" style="181" customWidth="1"/>
    <col min="10" max="16384" width="8.88671875" style="181"/>
  </cols>
  <sheetData>
    <row r="1" spans="1:15" ht="18" x14ac:dyDescent="0.35">
      <c r="A1" s="96" t="s">
        <v>32</v>
      </c>
      <c r="B1" s="97"/>
      <c r="C1" s="97"/>
      <c r="D1" s="97"/>
      <c r="E1" s="97"/>
      <c r="F1" s="97"/>
      <c r="G1" s="98"/>
      <c r="H1" s="32"/>
      <c r="I1" s="21"/>
      <c r="J1" s="21"/>
    </row>
    <row r="2" spans="1:15" x14ac:dyDescent="0.3">
      <c r="A2" s="14"/>
      <c r="B2" s="13"/>
      <c r="C2" s="45" t="s">
        <v>29</v>
      </c>
      <c r="D2" s="411" t="str">
        <f>IF(Summary!C1="","",Summary!C1)</f>
        <v>East Street Industrial Park</v>
      </c>
      <c r="E2" s="411"/>
      <c r="F2" s="411"/>
      <c r="G2" s="99"/>
      <c r="H2" s="22"/>
      <c r="I2" s="22"/>
      <c r="J2" s="22"/>
    </row>
    <row r="3" spans="1:15" x14ac:dyDescent="0.3">
      <c r="A3" s="14"/>
      <c r="B3" s="13"/>
      <c r="C3" s="45" t="s">
        <v>30</v>
      </c>
      <c r="D3" s="427"/>
      <c r="E3" s="428"/>
      <c r="F3" s="429"/>
      <c r="G3" s="99"/>
      <c r="H3" s="22"/>
      <c r="I3" s="22"/>
      <c r="J3" s="22"/>
    </row>
    <row r="4" spans="1:15" x14ac:dyDescent="0.3">
      <c r="A4" s="14"/>
      <c r="B4" s="13"/>
      <c r="C4" s="45" t="s">
        <v>31</v>
      </c>
      <c r="D4" s="415"/>
      <c r="E4" s="416"/>
      <c r="F4" s="417"/>
      <c r="G4" s="99"/>
      <c r="H4" s="22"/>
      <c r="I4" s="22"/>
      <c r="J4" s="22"/>
    </row>
    <row r="5" spans="1:15" x14ac:dyDescent="0.3">
      <c r="A5" s="14"/>
      <c r="B5" s="13"/>
      <c r="C5" s="45" t="s">
        <v>172</v>
      </c>
      <c r="D5" s="430"/>
      <c r="E5" s="430"/>
      <c r="F5" s="430"/>
      <c r="G5" s="99"/>
      <c r="H5" s="22"/>
      <c r="I5" s="22"/>
      <c r="J5" s="22"/>
    </row>
    <row r="6" spans="1:15" ht="15.6" customHeight="1" x14ac:dyDescent="0.3">
      <c r="A6" s="14"/>
      <c r="B6" s="13"/>
      <c r="C6" s="46" t="s">
        <v>177</v>
      </c>
      <c r="D6" s="431"/>
      <c r="E6" s="432"/>
      <c r="F6" s="433"/>
      <c r="G6" s="99"/>
      <c r="H6" s="22"/>
      <c r="I6" s="22"/>
      <c r="J6" s="22"/>
    </row>
    <row r="7" spans="1:15" ht="9.6" customHeight="1" x14ac:dyDescent="0.3">
      <c r="A7" s="14"/>
      <c r="B7" s="13"/>
      <c r="C7" s="13"/>
      <c r="D7" s="13"/>
      <c r="E7" s="13"/>
      <c r="F7" s="15"/>
      <c r="G7" s="99"/>
      <c r="H7" s="22"/>
      <c r="I7" s="22"/>
      <c r="J7" s="22"/>
    </row>
    <row r="8" spans="1:15" ht="18" x14ac:dyDescent="0.35">
      <c r="A8" s="91" t="s">
        <v>53</v>
      </c>
      <c r="B8" s="434" t="s">
        <v>40</v>
      </c>
      <c r="C8" s="434"/>
      <c r="D8" s="434"/>
      <c r="E8" s="76" t="s">
        <v>41</v>
      </c>
      <c r="F8" s="13"/>
      <c r="G8" s="60"/>
      <c r="K8" s="23"/>
      <c r="L8" s="13"/>
      <c r="M8" s="13"/>
      <c r="N8" s="13"/>
      <c r="O8" s="13"/>
    </row>
    <row r="9" spans="1:15" x14ac:dyDescent="0.3">
      <c r="A9" s="130" t="s">
        <v>52</v>
      </c>
      <c r="B9" s="131" t="s">
        <v>54</v>
      </c>
      <c r="C9" s="132" t="s">
        <v>55</v>
      </c>
      <c r="D9" s="132" t="s">
        <v>56</v>
      </c>
      <c r="E9" s="132" t="s">
        <v>57</v>
      </c>
      <c r="F9" s="13"/>
      <c r="G9" s="60"/>
      <c r="K9" s="13"/>
      <c r="L9" s="13"/>
      <c r="M9" s="13"/>
      <c r="N9" s="13"/>
    </row>
    <row r="10" spans="1:15" x14ac:dyDescent="0.3">
      <c r="A10" s="61" t="s">
        <v>0</v>
      </c>
      <c r="B10" s="217">
        <v>1</v>
      </c>
      <c r="C10" s="218">
        <v>0</v>
      </c>
      <c r="D10" s="218">
        <v>0</v>
      </c>
      <c r="E10" s="218">
        <v>0</v>
      </c>
      <c r="F10" s="13"/>
      <c r="G10" s="60"/>
      <c r="K10" s="13"/>
      <c r="L10" s="13"/>
      <c r="M10" s="13"/>
      <c r="N10" s="13"/>
    </row>
    <row r="11" spans="1:15" ht="12.6" customHeight="1" thickBot="1" x14ac:dyDescent="0.35">
      <c r="A11" s="100"/>
      <c r="B11" s="101"/>
      <c r="C11" s="102"/>
      <c r="D11" s="102"/>
      <c r="E11" s="102"/>
      <c r="F11" s="102"/>
      <c r="G11" s="70"/>
      <c r="K11" s="13"/>
      <c r="L11" s="6"/>
      <c r="M11" s="13"/>
      <c r="N11" s="13"/>
      <c r="O11" s="13"/>
    </row>
    <row r="12" spans="1:15" ht="15.6" x14ac:dyDescent="0.3">
      <c r="A12" s="77" t="s">
        <v>82</v>
      </c>
      <c r="B12" s="94"/>
      <c r="C12" s="95"/>
      <c r="D12" s="95"/>
      <c r="E12" s="95"/>
      <c r="F12" s="95"/>
      <c r="G12" s="58"/>
      <c r="K12" s="13"/>
      <c r="L12" s="6"/>
      <c r="M12" s="13"/>
      <c r="N12" s="13"/>
      <c r="O12" s="13"/>
    </row>
    <row r="13" spans="1:15" ht="15.6" x14ac:dyDescent="0.3">
      <c r="A13" s="425" t="s">
        <v>58</v>
      </c>
      <c r="B13" s="426"/>
      <c r="C13" s="426"/>
      <c r="D13" s="426"/>
      <c r="E13" s="426"/>
      <c r="F13" s="426"/>
      <c r="G13" s="60"/>
      <c r="K13" s="13"/>
      <c r="L13" s="6"/>
      <c r="M13" s="13"/>
      <c r="N13" s="13"/>
      <c r="O13" s="13"/>
    </row>
    <row r="14" spans="1:15" x14ac:dyDescent="0.3">
      <c r="A14" s="243" t="s">
        <v>8</v>
      </c>
      <c r="B14" s="303" t="s">
        <v>2</v>
      </c>
      <c r="C14" s="303" t="s">
        <v>3</v>
      </c>
      <c r="D14" s="303" t="s">
        <v>4</v>
      </c>
      <c r="E14" s="303" t="s">
        <v>5</v>
      </c>
      <c r="F14" s="297" t="s">
        <v>13</v>
      </c>
      <c r="G14" s="385"/>
      <c r="H14" s="19"/>
      <c r="I14" s="19"/>
      <c r="J14" s="19"/>
      <c r="K14" s="13"/>
      <c r="L14" s="13"/>
      <c r="M14" s="13"/>
      <c r="N14" s="13"/>
      <c r="O14" s="13"/>
    </row>
    <row r="15" spans="1:15" ht="15.6" x14ac:dyDescent="0.3">
      <c r="A15" s="111" t="s">
        <v>6</v>
      </c>
      <c r="B15" s="216">
        <v>0</v>
      </c>
      <c r="C15" s="216">
        <v>0</v>
      </c>
      <c r="D15" s="216">
        <v>0</v>
      </c>
      <c r="E15" s="216">
        <v>0</v>
      </c>
      <c r="F15" s="133">
        <f t="shared" ref="F15:F18" si="0">SUM(B15:E15)</f>
        <v>0</v>
      </c>
      <c r="G15" s="385"/>
      <c r="H15" s="19"/>
      <c r="I15" s="19"/>
      <c r="J15" s="19"/>
      <c r="K15" s="10"/>
      <c r="L15" s="13"/>
      <c r="M15" s="13"/>
      <c r="N15" s="13"/>
      <c r="O15" s="13"/>
    </row>
    <row r="16" spans="1:15" x14ac:dyDescent="0.3">
      <c r="A16" s="111" t="s">
        <v>38</v>
      </c>
      <c r="B16" s="216">
        <v>0</v>
      </c>
      <c r="C16" s="216">
        <v>0</v>
      </c>
      <c r="D16" s="216">
        <v>0</v>
      </c>
      <c r="E16" s="216">
        <v>0</v>
      </c>
      <c r="F16" s="133">
        <f t="shared" si="0"/>
        <v>0</v>
      </c>
      <c r="G16" s="60"/>
      <c r="H16" s="1"/>
      <c r="I16" s="33"/>
      <c r="J16" s="33"/>
      <c r="K16" s="13"/>
      <c r="L16" s="22"/>
      <c r="M16" s="13"/>
      <c r="N16" s="13"/>
      <c r="O16" s="13"/>
    </row>
    <row r="17" spans="1:15" x14ac:dyDescent="0.3">
      <c r="A17" s="111" t="s">
        <v>7</v>
      </c>
      <c r="B17" s="216">
        <v>0</v>
      </c>
      <c r="C17" s="216">
        <v>0</v>
      </c>
      <c r="D17" s="216">
        <v>0</v>
      </c>
      <c r="E17" s="216">
        <v>0</v>
      </c>
      <c r="F17" s="133">
        <f t="shared" si="0"/>
        <v>0</v>
      </c>
      <c r="G17" s="60"/>
      <c r="H17" s="1"/>
      <c r="I17" s="33"/>
      <c r="J17" s="33"/>
      <c r="K17" s="13"/>
      <c r="L17" s="22"/>
      <c r="M17" s="13"/>
      <c r="N17" s="13"/>
      <c r="O17" s="13"/>
    </row>
    <row r="18" spans="1:15" x14ac:dyDescent="0.3">
      <c r="A18" s="224" t="s">
        <v>251</v>
      </c>
      <c r="B18" s="216">
        <v>0</v>
      </c>
      <c r="C18" s="216">
        <v>0</v>
      </c>
      <c r="D18" s="216">
        <v>0</v>
      </c>
      <c r="E18" s="216">
        <v>0</v>
      </c>
      <c r="F18" s="133">
        <f t="shared" si="0"/>
        <v>0</v>
      </c>
      <c r="G18" s="60"/>
      <c r="H18" s="19"/>
      <c r="I18" s="19"/>
      <c r="J18" s="34"/>
      <c r="K18" s="13"/>
      <c r="L18" s="22"/>
      <c r="M18" s="13"/>
      <c r="N18" s="13"/>
      <c r="O18" s="13"/>
    </row>
    <row r="19" spans="1:15" ht="13.8" customHeight="1" x14ac:dyDescent="0.3">
      <c r="A19" s="68"/>
      <c r="B19" s="255"/>
      <c r="C19" s="255"/>
      <c r="D19" s="271"/>
      <c r="E19" s="261" t="s">
        <v>249</v>
      </c>
      <c r="F19" s="274">
        <v>0</v>
      </c>
      <c r="G19" s="60"/>
      <c r="H19" s="19"/>
      <c r="I19" s="19"/>
      <c r="J19" s="34"/>
      <c r="K19" s="13"/>
      <c r="L19" s="6"/>
      <c r="M19" s="13"/>
      <c r="N19" s="13"/>
      <c r="O19" s="13"/>
    </row>
    <row r="20" spans="1:15" ht="13.8" customHeight="1" x14ac:dyDescent="0.3">
      <c r="A20" s="68"/>
      <c r="B20" s="255"/>
      <c r="C20" s="255"/>
      <c r="D20" s="255"/>
      <c r="E20" s="261" t="s">
        <v>250</v>
      </c>
      <c r="F20" s="272">
        <f>SUM(F15:F19)</f>
        <v>0</v>
      </c>
      <c r="G20" s="60"/>
      <c r="H20" s="19"/>
      <c r="I20" s="19"/>
      <c r="J20" s="34"/>
      <c r="K20" s="13"/>
      <c r="L20" s="6"/>
      <c r="M20" s="13"/>
      <c r="N20" s="13"/>
      <c r="O20" s="13"/>
    </row>
    <row r="21" spans="1:15" ht="28.2" customHeight="1" x14ac:dyDescent="0.3">
      <c r="A21" s="353" t="str">
        <f>IF(F18=0,IF(F28+F29+F30&gt;0,"Existing and/or redeveloped impervious has been defined in post development. User must define existing impervious in pre development.",""),"")</f>
        <v/>
      </c>
      <c r="B21" s="354"/>
      <c r="C21" s="354"/>
      <c r="D21" s="354"/>
      <c r="E21" s="354"/>
      <c r="F21" s="354"/>
      <c r="G21" s="355"/>
      <c r="H21" s="19"/>
      <c r="I21" s="19"/>
      <c r="J21" s="34"/>
      <c r="K21" s="13"/>
      <c r="L21" s="6"/>
      <c r="M21" s="13"/>
      <c r="N21" s="13"/>
      <c r="O21" s="13"/>
    </row>
    <row r="22" spans="1:15" ht="15.6" x14ac:dyDescent="0.3">
      <c r="A22" s="397" t="s">
        <v>123</v>
      </c>
      <c r="B22" s="398"/>
      <c r="C22" s="398"/>
      <c r="D22" s="398"/>
      <c r="E22" s="398"/>
      <c r="F22" s="398"/>
      <c r="G22" s="262" t="s">
        <v>246</v>
      </c>
      <c r="H22" s="19"/>
      <c r="I22" s="19"/>
      <c r="J22" s="34"/>
      <c r="K22" s="13"/>
      <c r="L22" s="6"/>
      <c r="M22" s="13"/>
      <c r="N22" s="13"/>
      <c r="O22" s="13"/>
    </row>
    <row r="23" spans="1:15" ht="13.8" customHeight="1" x14ac:dyDescent="0.3">
      <c r="A23" s="243" t="s">
        <v>8</v>
      </c>
      <c r="B23" s="303" t="s">
        <v>2</v>
      </c>
      <c r="C23" s="303" t="s">
        <v>3</v>
      </c>
      <c r="D23" s="303" t="s">
        <v>4</v>
      </c>
      <c r="E23" s="303" t="s">
        <v>5</v>
      </c>
      <c r="F23" s="297" t="s">
        <v>13</v>
      </c>
      <c r="G23" s="60"/>
      <c r="L23" s="6"/>
      <c r="M23" s="13"/>
      <c r="N23" s="13"/>
      <c r="O23" s="13"/>
    </row>
    <row r="24" spans="1:15" x14ac:dyDescent="0.3">
      <c r="A24" s="111" t="s">
        <v>6</v>
      </c>
      <c r="B24" s="216">
        <v>0</v>
      </c>
      <c r="C24" s="216">
        <v>0</v>
      </c>
      <c r="D24" s="216">
        <v>0</v>
      </c>
      <c r="E24" s="216">
        <v>0</v>
      </c>
      <c r="F24" s="133">
        <f>SUM(B24:E24)</f>
        <v>0</v>
      </c>
      <c r="G24" s="60"/>
      <c r="L24" s="13"/>
      <c r="M24" s="13"/>
      <c r="N24" s="13"/>
      <c r="O24" s="13"/>
    </row>
    <row r="25" spans="1:15" x14ac:dyDescent="0.3">
      <c r="A25" s="111" t="s">
        <v>38</v>
      </c>
      <c r="B25" s="216">
        <v>0</v>
      </c>
      <c r="C25" s="216">
        <v>0</v>
      </c>
      <c r="D25" s="216">
        <v>0</v>
      </c>
      <c r="E25" s="216">
        <v>0</v>
      </c>
      <c r="F25" s="133">
        <f>SUM(B25:E25)</f>
        <v>0</v>
      </c>
      <c r="G25" s="60"/>
      <c r="L25" s="13"/>
      <c r="M25" s="13"/>
      <c r="N25" s="13"/>
      <c r="O25" s="13"/>
    </row>
    <row r="26" spans="1:15" x14ac:dyDescent="0.3">
      <c r="A26" s="111" t="s">
        <v>7</v>
      </c>
      <c r="B26" s="216">
        <v>0</v>
      </c>
      <c r="C26" s="216">
        <v>0</v>
      </c>
      <c r="D26" s="216">
        <v>0</v>
      </c>
      <c r="E26" s="216">
        <v>0</v>
      </c>
      <c r="F26" s="133">
        <f>SUM(B26:E26)</f>
        <v>0</v>
      </c>
      <c r="G26" s="60"/>
      <c r="L26" s="6"/>
      <c r="M26" s="13"/>
      <c r="N26" s="13"/>
      <c r="O26" s="13"/>
    </row>
    <row r="27" spans="1:15" x14ac:dyDescent="0.3">
      <c r="A27" s="244" t="s">
        <v>243</v>
      </c>
      <c r="B27" s="256">
        <v>0</v>
      </c>
      <c r="C27" s="256">
        <v>0</v>
      </c>
      <c r="D27" s="256">
        <v>0</v>
      </c>
      <c r="E27" s="256">
        <v>0</v>
      </c>
      <c r="F27" s="257">
        <f>SUM(B27:E27)</f>
        <v>0</v>
      </c>
      <c r="G27" s="263">
        <f>IF(F32=0,0,F27/$F$32)</f>
        <v>0</v>
      </c>
      <c r="L27" s="6"/>
      <c r="M27" s="13"/>
      <c r="N27" s="13"/>
      <c r="O27" s="13"/>
    </row>
    <row r="28" spans="1:15" ht="43.2" x14ac:dyDescent="0.3">
      <c r="A28" s="254" t="s">
        <v>244</v>
      </c>
      <c r="B28" s="253">
        <v>0</v>
      </c>
      <c r="C28" s="253">
        <v>0</v>
      </c>
      <c r="D28" s="253">
        <v>0</v>
      </c>
      <c r="E28" s="253">
        <v>0</v>
      </c>
      <c r="F28" s="234">
        <f>SUM(B28:E28)</f>
        <v>0</v>
      </c>
      <c r="G28" s="264">
        <f>IF(F32=0,0,F28/$F$32)</f>
        <v>0</v>
      </c>
      <c r="L28" s="6"/>
      <c r="M28" s="13"/>
      <c r="N28" s="13"/>
      <c r="O28" s="13"/>
    </row>
    <row r="29" spans="1:15" x14ac:dyDescent="0.3">
      <c r="A29" s="254"/>
      <c r="B29" s="276"/>
      <c r="C29" s="276"/>
      <c r="D29" s="276"/>
      <c r="E29" s="277" t="s">
        <v>247</v>
      </c>
      <c r="F29" s="275">
        <v>0</v>
      </c>
      <c r="G29" s="263">
        <f>IF(F32=0,0,F29/$F$32)</f>
        <v>0</v>
      </c>
      <c r="L29" s="6"/>
      <c r="M29" s="13"/>
      <c r="N29" s="13"/>
      <c r="O29" s="13"/>
    </row>
    <row r="30" spans="1:15" x14ac:dyDescent="0.3">
      <c r="A30" s="14"/>
      <c r="B30" s="278"/>
      <c r="C30" s="278"/>
      <c r="D30" s="278"/>
      <c r="E30" s="279" t="s">
        <v>39</v>
      </c>
      <c r="F30" s="275">
        <v>0</v>
      </c>
      <c r="G30" s="263">
        <f>IF(F32=0,0,F30/$F$32)</f>
        <v>0</v>
      </c>
      <c r="H30" s="19"/>
      <c r="I30" s="19"/>
      <c r="J30" s="34"/>
      <c r="K30" s="13"/>
      <c r="L30" s="6"/>
      <c r="M30" s="13"/>
      <c r="N30" s="13"/>
      <c r="O30" s="13"/>
    </row>
    <row r="31" spans="1:15" x14ac:dyDescent="0.3">
      <c r="A31" s="14"/>
      <c r="B31" s="356" t="s">
        <v>248</v>
      </c>
      <c r="C31" s="356"/>
      <c r="D31" s="356"/>
      <c r="E31" s="356"/>
      <c r="F31" s="273">
        <f>F19</f>
        <v>0</v>
      </c>
      <c r="G31" s="263">
        <f>IF(F32=0,0,F31/$F$32)</f>
        <v>0</v>
      </c>
      <c r="H31" s="19"/>
      <c r="I31" s="19"/>
      <c r="J31" s="34"/>
      <c r="K31" s="13"/>
      <c r="L31" s="6"/>
      <c r="M31" s="13"/>
      <c r="N31" s="13"/>
      <c r="O31" s="13"/>
    </row>
    <row r="32" spans="1:15" x14ac:dyDescent="0.3">
      <c r="A32" s="14"/>
      <c r="B32" s="278"/>
      <c r="C32" s="278"/>
      <c r="D32" s="280"/>
      <c r="E32" s="281" t="s">
        <v>9</v>
      </c>
      <c r="F32" s="235">
        <f>SUM(F24:F31)</f>
        <v>0</v>
      </c>
      <c r="G32" s="60"/>
      <c r="H32" s="1"/>
      <c r="I32" s="33"/>
      <c r="J32" s="33"/>
      <c r="K32" s="13"/>
      <c r="L32" s="6"/>
      <c r="M32" s="13"/>
      <c r="N32" s="13"/>
      <c r="O32" s="13"/>
    </row>
    <row r="33" spans="1:15" ht="7.2" customHeight="1" x14ac:dyDescent="0.3">
      <c r="A33" s="14"/>
      <c r="B33" s="13"/>
      <c r="C33" s="13"/>
      <c r="D33" s="255"/>
      <c r="E33" s="145"/>
      <c r="F33" s="255"/>
      <c r="G33" s="60"/>
      <c r="H33" s="1"/>
      <c r="I33" s="33"/>
      <c r="J33" s="33"/>
      <c r="K33" s="13"/>
      <c r="L33" s="6"/>
      <c r="M33" s="13"/>
      <c r="N33" s="13"/>
      <c r="O33" s="13"/>
    </row>
    <row r="34" spans="1:15" x14ac:dyDescent="0.3">
      <c r="A34" s="14"/>
      <c r="B34" s="13"/>
      <c r="C34" s="13"/>
      <c r="D34" s="255"/>
      <c r="E34" s="260" t="s">
        <v>220</v>
      </c>
      <c r="F34" s="235">
        <f>F31+F30+F28+F27</f>
        <v>0</v>
      </c>
      <c r="G34" s="60"/>
      <c r="H34" s="1"/>
      <c r="I34" s="33"/>
      <c r="J34" s="33"/>
      <c r="K34" s="13"/>
      <c r="L34" s="6"/>
      <c r="M34" s="13"/>
      <c r="N34" s="13"/>
      <c r="O34" s="13"/>
    </row>
    <row r="35" spans="1:15" x14ac:dyDescent="0.3">
      <c r="A35" s="14"/>
      <c r="B35" s="13"/>
      <c r="C35" s="13"/>
      <c r="D35" s="255"/>
      <c r="E35" s="261" t="s">
        <v>202</v>
      </c>
      <c r="F35" s="259">
        <f>IF(F18-(F27+F28+F30+F29+F31)&lt;0,0,F18-(F27+F28+F30+F29+F31))</f>
        <v>0</v>
      </c>
      <c r="G35" s="263">
        <f>IF(F18=0,0,F35/F18)</f>
        <v>0</v>
      </c>
      <c r="H35" s="1"/>
      <c r="I35" s="33"/>
      <c r="J35" s="33"/>
      <c r="K35" s="13"/>
      <c r="L35" s="6"/>
      <c r="M35" s="13"/>
      <c r="N35" s="13"/>
      <c r="O35" s="13"/>
    </row>
    <row r="36" spans="1:15" x14ac:dyDescent="0.3">
      <c r="A36" s="14"/>
      <c r="B36" s="13"/>
      <c r="C36" s="13"/>
      <c r="D36" s="255"/>
      <c r="E36" s="261" t="s">
        <v>245</v>
      </c>
      <c r="F36" s="259">
        <f>IF((F18-F29-F28-F30)&lt;0,0,(F18-F29-F28-F30))</f>
        <v>0</v>
      </c>
      <c r="G36" s="263">
        <f>IF(F18-F28-F29=0,0,F36/(F18-F28-F29))</f>
        <v>0</v>
      </c>
      <c r="H36" s="1"/>
      <c r="I36" s="33"/>
      <c r="J36" s="33"/>
      <c r="K36" s="13"/>
      <c r="L36" s="6"/>
      <c r="M36" s="13"/>
      <c r="N36" s="13"/>
      <c r="O36" s="13"/>
    </row>
    <row r="37" spans="1:15" ht="7.2" customHeight="1" x14ac:dyDescent="0.3">
      <c r="A37" s="14"/>
      <c r="B37" s="13"/>
      <c r="C37" s="13"/>
      <c r="D37" s="255"/>
      <c r="E37" s="258"/>
      <c r="F37" s="19"/>
      <c r="G37" s="60"/>
      <c r="H37" s="1"/>
      <c r="I37" s="33"/>
      <c r="J37" s="33"/>
      <c r="K37" s="13"/>
      <c r="L37" s="6"/>
      <c r="M37" s="13"/>
      <c r="N37" s="13"/>
      <c r="O37" s="13"/>
    </row>
    <row r="38" spans="1:15" ht="30.6" customHeight="1" thickBot="1" x14ac:dyDescent="0.35">
      <c r="A38" s="402" t="str">
        <f>IF(F32=F20,"","WARNING: Pre development and post development areas don't match, so evaluation of the Hydrologic Condition Method is not appropriate within this drainage area. Designer may consider HCM across drainage areas.")</f>
        <v/>
      </c>
      <c r="B38" s="403"/>
      <c r="C38" s="403"/>
      <c r="D38" s="403"/>
      <c r="E38" s="403"/>
      <c r="F38" s="403"/>
      <c r="G38" s="404"/>
      <c r="H38" s="1"/>
      <c r="I38" s="33"/>
      <c r="J38" s="33"/>
      <c r="K38" s="13"/>
      <c r="L38" s="6"/>
      <c r="M38" s="13"/>
      <c r="N38" s="13"/>
      <c r="O38" s="13"/>
    </row>
    <row r="39" spans="1:15" ht="43.2" x14ac:dyDescent="0.3">
      <c r="A39" s="405" t="s">
        <v>242</v>
      </c>
      <c r="B39" s="406"/>
      <c r="C39" s="57"/>
      <c r="D39" s="236"/>
      <c r="E39" s="237" t="s">
        <v>219</v>
      </c>
      <c r="F39" s="238" t="s">
        <v>218</v>
      </c>
      <c r="G39" s="58"/>
      <c r="H39" s="1"/>
      <c r="I39" s="33"/>
      <c r="K39" s="13"/>
      <c r="L39" s="6"/>
      <c r="M39" s="13"/>
      <c r="N39" s="13"/>
      <c r="O39" s="13"/>
    </row>
    <row r="40" spans="1:15" ht="14.4" customHeight="1" x14ac:dyDescent="0.3">
      <c r="A40" s="407"/>
      <c r="B40" s="408"/>
      <c r="C40" s="13"/>
      <c r="D40" s="20" t="s">
        <v>216</v>
      </c>
      <c r="E40" s="198">
        <v>0</v>
      </c>
      <c r="F40" s="171">
        <v>0</v>
      </c>
      <c r="G40" s="60"/>
      <c r="H40" s="1"/>
      <c r="I40" s="33"/>
      <c r="J40" s="33"/>
      <c r="K40" s="13"/>
      <c r="L40" s="6"/>
      <c r="M40" s="13"/>
      <c r="N40" s="13"/>
      <c r="O40" s="13"/>
    </row>
    <row r="41" spans="1:15" ht="14.4" customHeight="1" x14ac:dyDescent="0.3">
      <c r="A41" s="407"/>
      <c r="B41" s="408"/>
      <c r="C41" s="13"/>
      <c r="D41" s="20" t="s">
        <v>217</v>
      </c>
      <c r="E41" s="198">
        <v>0</v>
      </c>
      <c r="F41" s="171">
        <v>0</v>
      </c>
      <c r="G41" s="60"/>
      <c r="H41" s="1"/>
      <c r="I41" s="33"/>
      <c r="J41" s="33"/>
      <c r="K41" s="13"/>
      <c r="L41" s="6"/>
      <c r="M41" s="13"/>
      <c r="N41" s="13"/>
      <c r="O41" s="13"/>
    </row>
    <row r="42" spans="1:15" ht="7.2" customHeight="1" thickBot="1" x14ac:dyDescent="0.35">
      <c r="A42" s="16"/>
      <c r="B42" s="92"/>
      <c r="C42" s="192"/>
      <c r="D42" s="192"/>
      <c r="E42" s="192"/>
      <c r="F42" s="193"/>
      <c r="G42" s="70"/>
      <c r="H42" s="1"/>
      <c r="I42" s="33"/>
      <c r="J42" s="33"/>
      <c r="K42" s="13"/>
      <c r="L42" s="6"/>
      <c r="M42" s="13"/>
      <c r="N42" s="13"/>
      <c r="O42" s="13"/>
    </row>
    <row r="43" spans="1:15" ht="14.4" customHeight="1" x14ac:dyDescent="0.35">
      <c r="A43" s="56" t="s">
        <v>59</v>
      </c>
      <c r="B43" s="240"/>
      <c r="C43" s="57"/>
      <c r="D43" s="123" t="s">
        <v>60</v>
      </c>
      <c r="E43" s="123" t="s">
        <v>61</v>
      </c>
      <c r="F43" s="123" t="s">
        <v>62</v>
      </c>
      <c r="G43" s="58"/>
      <c r="K43" s="10"/>
      <c r="L43" s="13"/>
      <c r="M43" s="13"/>
      <c r="N43" s="13"/>
      <c r="O43" s="13"/>
    </row>
    <row r="44" spans="1:15" ht="14.4" customHeight="1" x14ac:dyDescent="0.3">
      <c r="A44" s="399" t="s">
        <v>112</v>
      </c>
      <c r="B44" s="386"/>
      <c r="C44" s="400"/>
      <c r="D44" s="265">
        <f>(IF($C$10&lt;0.2*Lookup!$B$13,0,(('SN7'!$C$10-0.2*Lookup!$B$13)^2/('SN7'!$C$10+0.8*Lookup!$B$13)))*$B$15+IF($C$10&lt;0.2*Lookup!$B$14,0,(('SN7'!$C$10-0.2*Lookup!$B$14)^2/('SN7'!$C$10+0.8*Lookup!$B$14)))*$B$16+IF($C$10&lt;0.2*Lookup!$B$15,0,(('SN7'!$C$10-0.2*Lookup!$B$15)^2/('SN7'!$C$10+0.8*Lookup!$B$15)))*$B$17++IF($C$10&lt;0.2*Lookup!$B$17,0,(('SN7'!$C$10-0.2*Lookup!$B$17)^2/('SN7'!$C$10+0.8*Lookup!$B$17)))*$B$18+IF($C$10&lt;0.2*Lookup!$C$13,0,(('SN7'!$C$10-0.2*Lookup!$C$13)^2/('SN7'!C$10+0.8*Lookup!$C$13)))*$C$15+IF($C$10&lt;0.2*Lookup!$C$14,0,(('SN7'!$C$10-0.2*Lookup!$C$14)^2/('SN7'!$C$10+0.8*Lookup!$C$14)))*$C$16+IF($C$10&lt;0.2*Lookup!$C$15,0,(('SN7'!$C$10-0.2*Lookup!$C$15)^2/('SN7'!$C$10+0.8*Lookup!$C$15)))*$C$17+IF($C$10&lt;0.2*Lookup!$C$17,0,(('SN7'!$C$10-0.2*Lookup!$C$17)^2/('SN7'!$C$10+0.8*Lookup!$C$17)))*$C$18+IF($C$10&lt;0.2*Lookup!$D$13,0,(('SN7'!$C$10-0.2*Lookup!$D$13)^2/('SN7'!$C$10+0.8*Lookup!$D$13)))*$D$15+IF($C$10&lt;0.2*Lookup!$D$14,0,(('SN7'!$C$10-0.2*Lookup!$D$14)^2/('SN7'!$C$10+0.8*Lookup!$D$14)))*$D$16+IF($C$10&lt;0.2*Lookup!$D$15,0,(('SN7'!$C$10-0.2*Lookup!$D$15)^2/('SN7'!$C$10+0.8*Lookup!$D$15)))*$D$17+IF($C$10&lt;0.2*Lookup!$D$17,0,(('SN7'!$C$10-0.2*Lookup!$D$17)^2/('SN7'!$C$10+0.8*Lookup!$D$17)))*$D$18+IF($C$10&lt;0.2*Lookup!$E$13,0,(('SN7'!$C$10-0.2*Lookup!$E$13)^2/('SN7'!$C$10+0.8*Lookup!$E$13)))*$E$15+IF($C$10&lt;0.2*Lookup!$E$14,0,(('SN7'!$C$10-0.2*Lookup!$E$14)^2/('SN7'!$C$10+0.8*Lookup!$E$14)))*$E$16+IF($C$10&lt;0.2*Lookup!$E$15,0,(('SN7'!$C$10-0.2*Lookup!$E$15)^2/('SN7'!$C$10+0.8*Lookup!$E$15)))*$E$17+IF($C$10&lt;0.2*Lookup!$E$17,0,(('SN7'!$C$10-0.2*Lookup!$E$17)^2/('SN7'!$C$10+0.8*Lookup!$E$17)))*$E$18)/12</f>
        <v>0</v>
      </c>
      <c r="E44" s="265">
        <f>(IF($D$10&lt;0.2*Lookup!$B$13,0,(('SN7'!$D$10-0.2*Lookup!$B$13)^2/('SN7'!$D$10+0.8*Lookup!$B$13)))*$B$15+IF($D$10&lt;0.2*Lookup!$B$14,0,(('SN7'!$D$10-0.2*Lookup!$B$14)^2/('SN7'!$D$10+0.8*Lookup!$B$14)))*$B$16+IF($D$10&lt;0.2*Lookup!$B$15,0,(('SN7'!$D$10-0.2*Lookup!$B$15)^2/('SN7'!$D$10+0.8*Lookup!$B$15)))*$B$17++IF($D$10&lt;0.2*Lookup!$B$17,0,(('SN7'!$D$10-0.2*Lookup!$B$17)^2/('SN7'!$D$10+0.8*Lookup!$B$17)))*$B$18+IF($D$10&lt;0.2*Lookup!$C$13,0,(('SN7'!$D$10-0.2*Lookup!$C$13)^2/('SN7'!C$10+0.8*Lookup!$C$13)))*$C$15+IF($D$10&lt;0.2*Lookup!$C$14,0,(('SN7'!$D$10-0.2*Lookup!$C$14)^2/('SN7'!$D$10+0.8*Lookup!$C$14)))*$C$16+IF($D$10&lt;0.2*Lookup!$C$15,0,(('SN7'!$D$10-0.2*Lookup!$C$15)^2/('SN7'!$D$10+0.8*Lookup!$C$15)))*$C$17+IF($D$10&lt;0.2*Lookup!$C$17,0,(('SN7'!$D$10-0.2*Lookup!$C$17)^2/('SN7'!$D$10+0.8*Lookup!$C$17)))*$C$18+IF($D$10&lt;0.2*Lookup!$D$13,0,(('SN7'!$D$10-0.2*Lookup!$D$13)^2/('SN7'!$D$10+0.8*Lookup!$D$13)))*$D$15+IF($D$10&lt;0.2*Lookup!$D$14,0,(('SN7'!$D$10-0.2*Lookup!$D$14)^2/('SN7'!$D$10+0.8*Lookup!$D$14)))*$D$16+IF($D$10&lt;0.2*Lookup!$D$15,0,(('SN7'!$D$10-0.2*Lookup!$D$15)^2/('SN7'!$D$10+0.8*Lookup!$D$15)))*$D$17+IF($D$10&lt;0.2*Lookup!$D$17,0,(('SN7'!$D$10-0.2*Lookup!$D$17)^2/('SN7'!$D$10+0.8*Lookup!$D$17)))*$D$18+IF($D$10&lt;0.2*Lookup!$E$13,0,(('SN7'!$D$10-0.2*Lookup!$E$13)^2/('SN7'!$D$10+0.8*Lookup!$E$13)))*$E$15+IF($D$10&lt;0.2*Lookup!$E$14,0,(('SN7'!$D$10-0.2*Lookup!$E$14)^2/('SN7'!$D$10+0.8*Lookup!$E$14)))*$E$16+IF($D$10&lt;0.2*Lookup!$E$15,0,(('SN7'!$D$10-0.2*Lookup!$E$15)^2/('SN7'!$D$10+0.8*Lookup!$E$15)))*$E$17++IF($D$10&lt;0.2*Lookup!$E$17,0,(('SN7'!$D$10-0.2*Lookup!$E$17)^2/('SN7'!$D$10+0.8*Lookup!$E$17)))*$E$18)/12</f>
        <v>0</v>
      </c>
      <c r="F44" s="265">
        <f>(IF($E$10&lt;0.2*Lookup!$B$13,0,(('SN7'!$E$10-0.2*Lookup!$B$13)^2/('SN7'!$E$10+0.8*Lookup!$B$13)))*$B$15+IF($E$10&lt;0.2*Lookup!$B$14,0,(('SN7'!$E$10-0.2*Lookup!$B$14)^2/('SN7'!$E$10+0.8*Lookup!$B$14)))*$B$16+IF($E$10&lt;0.2*Lookup!$B$15,0,(('SN7'!$E$10-0.2*Lookup!$B$15)^2/('SN7'!$E$10+0.8*Lookup!$B$15)))*$B$17++IF($E$10&lt;0.2*Lookup!$B$17,0,(('SN7'!$E$10-0.2*Lookup!$B$17)^2/('SN7'!$E$10+0.8*Lookup!$B$17)))*$B$18+IF($E$10&lt;0.2*Lookup!$C$13,0,(('SN7'!$E$10-0.2*Lookup!$C$13)^2/('SN7'!C$10+0.8*Lookup!$C$13)))*$C$15+IF($E$10&lt;0.2*Lookup!$C$14,0,(('SN7'!$E$10-0.2*Lookup!$C$14)^2/('SN7'!$E$10+0.8*Lookup!$C$14)))*$C$16+IF($E$10&lt;0.2*Lookup!$C$15,0,(('SN7'!$E$10-0.2*Lookup!$C$15)^2/('SN7'!$E$10+0.8*Lookup!$C$15)))*$C$17+IF($E$10&lt;0.2*Lookup!$C$17,0,(('SN7'!$E$10-0.2*Lookup!$C$17)^2/('SN7'!$E$10+0.8*Lookup!$C$17)))*$C$18+IF($E$10&lt;0.2*Lookup!$D$13,0,(('SN7'!$E$10-0.2*Lookup!$D$13)^2/('SN7'!$E$10+0.8*Lookup!$D$13)))*$D$15+IF($E$10&lt;0.2*Lookup!$D$14,0,(('SN7'!$E$10-0.2*Lookup!$D$14)^2/('SN7'!$E$10+0.8*Lookup!$D$14)))*$D$16+IF($E$10&lt;0.2*Lookup!$D$15,0,(('SN7'!$E$10-0.2*Lookup!$D$15)^2/('SN7'!$E$10+0.8*Lookup!$D$15)))*$D$17+IF($E$10&lt;0.2*Lookup!$D$17,0,(('SN7'!$E$10-0.2*Lookup!$D$17)^2/('SN7'!$E$10+0.8*Lookup!$D$17)))*$D$18+IF($E$10&lt;0.2*Lookup!$E$13,0,(('SN7'!$E$10-0.2*Lookup!$E$13)^2/('SN7'!$E$10+0.8*Lookup!$E$13)))*$E$15+IF($E$10&lt;0.2*Lookup!$E$14,0,(('SN7'!$E$10-0.2*Lookup!$E$14)^2/('SN7'!$E$10+0.8*Lookup!$E$14)))*$E$16+IF($E$10&lt;0.2*Lookup!$E$15,0,(('SN7'!$E$10-0.2*Lookup!$E$15)^2/('SN7'!$E$10+0.8*Lookup!$E$15)))*$E$17++IF($E$10&lt;0.2*Lookup!$E$17,0,(('SN7'!$E$10-0.2*Lookup!$E$17)^2/('SN7'!$E$10+0.8*Lookup!$E$17)))*$E$18)/12</f>
        <v>0</v>
      </c>
      <c r="G44" s="60"/>
      <c r="K44" s="13"/>
      <c r="L44" s="6"/>
      <c r="M44" s="13"/>
      <c r="N44" s="13"/>
      <c r="O44" s="13"/>
    </row>
    <row r="45" spans="1:15" ht="14.4" customHeight="1" x14ac:dyDescent="0.3">
      <c r="A45" s="399" t="s">
        <v>113</v>
      </c>
      <c r="B45" s="386"/>
      <c r="C45" s="400"/>
      <c r="D45" s="265">
        <f>(IF($C$10&lt;0.2*Lookup!$B$13,0,(('SN7'!$C$10-0.2*Lookup!$B$13)^2/('SN7'!$C$10+0.8*Lookup!$B$13)))*$B$24+IF($C$10&lt;0.2*Lookup!$B$14,0,(('SN7'!$C$10-0.2*Lookup!$B$14)^2/('SN7'!$C$10+0.8*Lookup!$B$14)))*$B$25+IF($C$10&lt;0.2*Lookup!$B$15,0,(('SN7'!$C$10-0.2*Lookup!$B$15)^2/('SN7'!$C$10+0.8*Lookup!$B$15)))*$B$26+IF($C$10&lt;0.2*Lookup!$C$13,0,(('SN7'!$C$10-0.2*Lookup!$C$13)^2/('SN7'!C$10+0.8*Lookup!$C$13)))*$C$24+IF($C$10&lt;0.2*Lookup!$C$14,0,(('SN7'!$C$10-0.2*Lookup!$C$14)^2/('SN7'!$C$10+0.8*Lookup!$C$14)))*$C$25+IF($C$10&lt;0.2*Lookup!$C$15,0,(('SN7'!$C$10-0.2*Lookup!$C$15)^2/('SN7'!$C$10+0.8*Lookup!$C$15)))*$C$26+IF($C$10&lt;0.2*Lookup!$D$13,0,(('SN7'!$C$10-0.2*Lookup!$D$13)^2/('SN7'!$C$10+0.8*Lookup!$D$13)))*$D$24+IF($C$10&lt;0.2*Lookup!$D$14,0,(('SN7'!$C$10-0.2*Lookup!$D$14)^2/('SN7'!$C$10+0.8*Lookup!$D$14)))*$D$25+IF($C$10&lt;0.2*Lookup!$D$15,0,(('SN7'!$C$10-0.2*Lookup!$D$15)^2/('SN7'!$C$10+0.8*Lookup!$D$15)))*$D$26+IF($C$10&lt;0.2*Lookup!$E$13,0,(('SN7'!$C$10-0.2*Lookup!$E$13)^2/('SN7'!$C$10+0.8*Lookup!$E$13)))*$E$24+IF($C$10&lt;0.2*Lookup!$E$14,0,(('SN7'!$C$10-0.2*Lookup!$E$14)^2/('SN7'!$C$10+0.8*Lookup!$E$14)))*$E$25+IF($C$10&lt;0.2*Lookup!$E$15,0,(('SN7'!$C$10-0.2*Lookup!$E$15)^2/('SN7'!$C$10+0.8*Lookup!$E$15)))*$E$26+(($C$10-0.2*Lookup!B17)^2/($C$10+0.8*Lookup!B17)*(F27+F28+F29+F30)))/12</f>
        <v>0</v>
      </c>
      <c r="E45" s="265">
        <f>(IF($D$10&lt;0.2*Lookup!$B$13,0,(('SN7'!$D$10-0.2*Lookup!$B$13)^2/('SN7'!$D$10+0.8*Lookup!$B$13)))*$B$24+IF($D$10&lt;0.2*Lookup!$B$14,0,(('SN7'!$D$10-0.2*Lookup!$B$14)^2/('SN7'!$D$10+0.8*Lookup!$B$14)))*$B$25+IF($D$10&lt;0.2*Lookup!$B$15,0,(('SN7'!$D$10-0.2*Lookup!$B$15)^2/('SN7'!$D$10+0.8*Lookup!$B$15)))*$B$26+IF($D$10&lt;0.2*Lookup!$C$13,0,(('SN7'!$D$10-0.2*Lookup!$C$13)^2/('SN7'!C$10+0.8*Lookup!$C$13)))*$C$24+IF($D$10&lt;0.2*Lookup!$C$14,0,(('SN7'!$D$10-0.2*Lookup!$C$14)^2/('SN7'!$D$10+0.8*Lookup!$C$14)))*$C$25+IF($D$10&lt;0.2*Lookup!$C$15,0,(('SN7'!$D$10-0.2*Lookup!$C$15)^2/('SN7'!$D$10+0.8*Lookup!$C$15)))*$C$26+IF($D$10&lt;0.2*Lookup!$D$13,0,(('SN7'!$D$10-0.2*Lookup!$D$13)^2/('SN7'!$D$10+0.8*Lookup!$D$13)))*$D$24+IF($D$10&lt;0.2*Lookup!$D$14,0,(('SN7'!$D$10-0.2*Lookup!$D$14)^2/('SN7'!$D$10+0.8*Lookup!$D$14)))*$D$25+IF($D$10&lt;0.2*Lookup!$D$15,0,(('SN7'!$D$10-0.2*Lookup!$D$15)^2/('SN7'!$D$10+0.8*Lookup!$D$15)))*$D$26+IF($D$10&lt;0.2*Lookup!$E$13,0,(('SN7'!$D$10-0.2*Lookup!$E$13)^2/('SN7'!$D$10+0.8*Lookup!$E$13)))*$E$24+IF($D$10&lt;0.2*Lookup!$E$14,0,(('SN7'!$D$10-0.2*Lookup!$E$14)^2/('SN7'!$D$10+0.8*Lookup!$E$14)))*$E$25+IF($D$10&lt;0.2*Lookup!$E$15,0,(('SN7'!$D$10-0.2*Lookup!$E$15)^2/('SN7'!$D$10+0.8*Lookup!$E$15)))*$E$26+(($D$10-0.2*Lookup!B17)^2/($D$10+0.8*Lookup!B17)*(F27+F28+F29+F30)))/12</f>
        <v>0</v>
      </c>
      <c r="F45" s="265">
        <f>(IF($E$10&lt;0.2*Lookup!$B$13,0,(('SN7'!$E$10-0.2*Lookup!$B$13)^2/('SN7'!$E$10+0.8*Lookup!$B$13)))*$B$24+IF($E$10&lt;0.2*Lookup!$B$14,0,(('SN7'!$E$10-0.2*Lookup!$B$14)^2/('SN7'!$E$10+0.8*Lookup!$B$14)))*$B$25+IF($E$10&lt;0.2*Lookup!$B$15,0,(('SN7'!$E$10-0.2*Lookup!$B$15)^2/('SN7'!$E$10+0.8*Lookup!$B$15)))*$B$26+IF($E$10&lt;0.2*Lookup!$C$13,0,(('SN7'!$E$10-0.2*Lookup!$C$13)^2/('SN7'!C$10+0.8*Lookup!$C$13)))*$C$24+IF($E$10&lt;0.2*Lookup!$C$14,0,(('SN7'!$E$10-0.2*Lookup!$C$14)^2/('SN7'!$E$10+0.8*Lookup!$C$14)))*$C$25+IF($E$10&lt;0.2*Lookup!$C$15,0,(('SN7'!$E$10-0.2*Lookup!$C$15)^2/('SN7'!$E$10+0.8*Lookup!$C$15)))*$C$26+IF($E$10&lt;0.2*Lookup!$D$13,0,(('SN7'!$E$10-0.2*Lookup!$D$13)^2/('SN7'!$E$10+0.8*Lookup!$D$13)))*$D$24+IF($E$10&lt;0.2*Lookup!$D$14,0,(('SN7'!$E$10-0.2*Lookup!$D$14)^2/('SN7'!$E$10+0.8*Lookup!$D$14)))*$D$25+IF($E$10&lt;0.2*Lookup!$D$15,0,(('SN7'!$E$10-0.2*Lookup!$D$15)^2/('SN7'!$E$10+0.8*Lookup!$D$15)))*$D$26+IF($E$10&lt;0.2*Lookup!$E$13,0,(('SN7'!$E$10-0.2*Lookup!$E$13)^2/('SN7'!$E$10+0.8*Lookup!$E$13)))*$E$24+IF($E$10&lt;0.2*Lookup!$E$14,0,(('SN7'!$E$10-0.2*Lookup!$E$14)^2/('SN7'!$E$10+0.8*Lookup!$E$14)))*$E$25+IF($E$10&lt;0.2*Lookup!$E$15,0,(('SN7'!$E$10-0.2*Lookup!$E$15)^2/('SN7'!$E$10+0.8*Lookup!$E$15)))*$E$26+(($E$10-0.2*Lookup!B17)^2/($E$10+0.8*Lookup!B17)*(F27+F28+F29+F30)))/12</f>
        <v>0</v>
      </c>
      <c r="G45" s="60"/>
      <c r="K45" s="13"/>
      <c r="L45" s="6"/>
      <c r="M45" s="13"/>
      <c r="N45" s="13"/>
      <c r="O45" s="13"/>
    </row>
    <row r="46" spans="1:15" ht="15.6" customHeight="1" thickBot="1" x14ac:dyDescent="0.35">
      <c r="A46" s="16"/>
      <c r="B46" s="89"/>
      <c r="C46" s="92"/>
      <c r="D46" s="93"/>
      <c r="E46" s="89"/>
      <c r="F46" s="89"/>
      <c r="G46" s="70"/>
      <c r="K46" s="13"/>
      <c r="L46" s="6"/>
      <c r="M46" s="13"/>
      <c r="N46" s="13"/>
      <c r="O46" s="13"/>
    </row>
    <row r="47" spans="1:15" ht="15.6" x14ac:dyDescent="0.3">
      <c r="A47" s="56" t="s">
        <v>64</v>
      </c>
      <c r="B47" s="85"/>
      <c r="C47" s="86"/>
      <c r="D47" s="87"/>
      <c r="E47" s="85"/>
      <c r="F47" s="85"/>
      <c r="G47" s="58"/>
      <c r="K47" s="13"/>
      <c r="L47" s="6"/>
      <c r="M47" s="13"/>
      <c r="N47" s="13"/>
      <c r="O47" s="13"/>
    </row>
    <row r="48" spans="1:15" ht="44.4" customHeight="1" x14ac:dyDescent="0.3">
      <c r="A48" s="394" t="s">
        <v>214</v>
      </c>
      <c r="B48" s="395"/>
      <c r="C48" s="395"/>
      <c r="D48" s="395"/>
      <c r="E48" s="395"/>
      <c r="F48" s="395"/>
      <c r="G48" s="396"/>
      <c r="K48" s="13"/>
      <c r="L48" s="6"/>
      <c r="M48" s="13"/>
      <c r="N48" s="13"/>
      <c r="O48" s="13"/>
    </row>
    <row r="49" spans="1:15" ht="15.6" x14ac:dyDescent="0.35">
      <c r="A49" s="88" t="s">
        <v>71</v>
      </c>
      <c r="B49" s="117" t="s">
        <v>166</v>
      </c>
      <c r="C49" s="409" t="s">
        <v>71</v>
      </c>
      <c r="D49" s="410"/>
      <c r="E49" s="42" t="s">
        <v>166</v>
      </c>
      <c r="F49" s="19"/>
      <c r="G49" s="60"/>
      <c r="K49" s="13"/>
      <c r="L49" s="6"/>
      <c r="M49" s="13"/>
      <c r="N49" s="13"/>
      <c r="O49" s="13"/>
    </row>
    <row r="50" spans="1:15" x14ac:dyDescent="0.3">
      <c r="A50" s="195"/>
      <c r="B50" s="172"/>
      <c r="C50" s="351"/>
      <c r="D50" s="352"/>
      <c r="E50" s="173"/>
      <c r="F50" s="13"/>
      <c r="G50" s="60"/>
      <c r="I50" s="113"/>
      <c r="J50" s="113"/>
      <c r="K50" s="113"/>
      <c r="L50" s="6"/>
      <c r="M50" s="13"/>
      <c r="N50" s="13"/>
      <c r="O50" s="13"/>
    </row>
    <row r="51" spans="1:15" x14ac:dyDescent="0.3">
      <c r="A51" s="195"/>
      <c r="B51" s="172"/>
      <c r="C51" s="351"/>
      <c r="D51" s="352"/>
      <c r="E51" s="173"/>
      <c r="F51" s="13"/>
      <c r="G51" s="60"/>
      <c r="I51" s="113"/>
      <c r="J51" s="113"/>
      <c r="K51" s="113"/>
      <c r="L51" s="6"/>
      <c r="M51" s="13"/>
      <c r="N51" s="13"/>
      <c r="O51" s="13"/>
    </row>
    <row r="52" spans="1:15" x14ac:dyDescent="0.3">
      <c r="A52" s="195"/>
      <c r="B52" s="172"/>
      <c r="C52" s="351"/>
      <c r="D52" s="352"/>
      <c r="E52" s="173"/>
      <c r="F52" s="13"/>
      <c r="G52" s="60"/>
      <c r="I52" s="113"/>
      <c r="J52" s="113"/>
      <c r="K52" s="113"/>
      <c r="L52" s="6"/>
      <c r="M52" s="13"/>
      <c r="N52" s="13"/>
      <c r="O52" s="13"/>
    </row>
    <row r="53" spans="1:15" x14ac:dyDescent="0.3">
      <c r="A53" s="195"/>
      <c r="B53" s="172"/>
      <c r="C53" s="351"/>
      <c r="D53" s="352"/>
      <c r="E53" s="173"/>
      <c r="F53" s="19"/>
      <c r="G53" s="60"/>
      <c r="K53" s="13"/>
      <c r="L53" s="6"/>
      <c r="M53" s="13"/>
      <c r="N53" s="13"/>
      <c r="O53" s="13"/>
    </row>
    <row r="54" spans="1:15" x14ac:dyDescent="0.3">
      <c r="A54" s="195"/>
      <c r="B54" s="172"/>
      <c r="C54" s="351"/>
      <c r="D54" s="352"/>
      <c r="E54" s="173"/>
      <c r="F54" s="19"/>
      <c r="G54" s="60"/>
      <c r="K54" s="13"/>
      <c r="L54" s="6"/>
      <c r="M54" s="13"/>
      <c r="N54" s="13"/>
      <c r="O54" s="13"/>
    </row>
    <row r="55" spans="1:15" ht="13.8" customHeight="1" thickBot="1" x14ac:dyDescent="0.35">
      <c r="A55" s="16"/>
      <c r="B55" s="89"/>
      <c r="C55" s="90"/>
      <c r="D55" s="90"/>
      <c r="E55" s="89"/>
      <c r="F55" s="89"/>
      <c r="G55" s="70"/>
      <c r="K55" s="13"/>
      <c r="L55" s="6"/>
      <c r="M55" s="13"/>
      <c r="N55" s="13"/>
      <c r="O55" s="13"/>
    </row>
    <row r="56" spans="1:15" ht="15.6" x14ac:dyDescent="0.3">
      <c r="A56" s="77" t="s">
        <v>109</v>
      </c>
      <c r="B56" s="78"/>
      <c r="C56" s="78"/>
      <c r="D56" s="79"/>
      <c r="E56" s="79"/>
      <c r="F56" s="79"/>
      <c r="G56" s="58"/>
      <c r="K56" s="13"/>
      <c r="L56" s="6"/>
      <c r="M56" s="13"/>
      <c r="N56" s="13"/>
      <c r="O56" s="13"/>
    </row>
    <row r="57" spans="1:15" ht="15.6" x14ac:dyDescent="0.3">
      <c r="A57" s="80" t="s">
        <v>33</v>
      </c>
      <c r="B57" s="47" t="s">
        <v>73</v>
      </c>
      <c r="C57" s="47" t="s">
        <v>74</v>
      </c>
      <c r="D57" s="48" t="s">
        <v>75</v>
      </c>
      <c r="E57" s="48" t="s">
        <v>120</v>
      </c>
      <c r="F57" s="48" t="s">
        <v>121</v>
      </c>
      <c r="G57" s="60"/>
      <c r="K57" s="13"/>
      <c r="L57" s="6"/>
      <c r="M57" s="13"/>
      <c r="N57" s="13"/>
      <c r="O57" s="13"/>
    </row>
    <row r="58" spans="1:15" ht="15.6" x14ac:dyDescent="0.3">
      <c r="A58" s="61" t="s">
        <v>118</v>
      </c>
      <c r="B58" s="266">
        <f>B69</f>
        <v>0</v>
      </c>
      <c r="C58" s="267">
        <f>B77</f>
        <v>0</v>
      </c>
      <c r="D58" s="266">
        <f>D45-D44+(C10-0.2*Lookup!$B$17)^2/(C10+0.8*Lookup!$B$17)*$F$28/12-IF(C10-0.2*Lookup!$B$15&lt;0,0,(C10-0.2*Lookup!$B$15)^2/(C10+0.8*Lookup!$B$15))*$B$28/12-IF(C10-0.2*Lookup!$C$15&lt;0,0,(C10-0.2*Lookup!$C$15)^2/(C10+0.8*Lookup!$C$15))*$C$28/12-IF(C10-0.2*Lookup!$D$15&lt;0,0,(C10-0.2*Lookup!$D$15)^2/(C10+0.8*Lookup!$D$15))*$D$28/12-IF(C10-0.2*Lookup!$E$15&lt;0,0,(C10-0.2*Lookup!$E$15)^2/(C10+0.8*Lookup!$E$15)*$E$28)/12</f>
        <v>0</v>
      </c>
      <c r="E58" s="266">
        <f>E45-E44+(D10-0.2*Lookup!$B$17)^2/(D10+0.8*Lookup!$B$17)*$F$28/12-IF(D10-0.2*Lookup!$B$15&lt;0,0,(D10-0.2*Lookup!$B$15)^2/(D10+0.8*Lookup!$B$15))*$B$28/12-IF(D10-0.2*Lookup!$C$15&lt;0,0,(D10-0.2*Lookup!$C$15)^2/(D10+0.8*Lookup!$C$15))*$C$28/12-IF(D10-0.2*Lookup!$D$15&lt;0,0,(D10-0.2*Lookup!$D$15)^2/(D10+0.8*Lookup!$D$15))*$D$28/12-IF(D10-0.2*Lookup!$E$15&lt;0,0,(D10-0.2*Lookup!$E$15)^2/(D10+0.8*Lookup!$E$15)*$E$28)/12</f>
        <v>0</v>
      </c>
      <c r="F58" s="266">
        <f>F45-F44+(E10-0.2*Lookup!$B$17)^2/(E10+0.8*Lookup!$B$17)*$F$28/12-IF(E10-0.2*Lookup!$B$15&lt;0,0,(E10-0.2*Lookup!$B$15)^2/(E10+0.8*Lookup!$B$15))*$B$28/12-IF(E10-0.2*Lookup!$C$15&lt;0,0,(E10-0.2*Lookup!$C$15)^2/(E10+0.8*Lookup!$C$15))*$C$28/12-IF(E10-0.2*Lookup!$D$15&lt;0,0,(E10-0.2*Lookup!$D$15)^2/(E10+0.8*Lookup!$D$15))*$D$28/12-IF(E10-0.2*Lookup!$E$15&lt;0,0,(E10-0.2*Lookup!$E$15)^2/(E10+0.8*Lookup!$E$15)*$E$28)/12</f>
        <v>0</v>
      </c>
      <c r="G58" s="60"/>
      <c r="K58" s="13"/>
      <c r="L58" s="13"/>
      <c r="M58" s="13"/>
      <c r="N58" s="13"/>
      <c r="O58" s="13"/>
    </row>
    <row r="59" spans="1:15" ht="15.6" x14ac:dyDescent="0.3">
      <c r="A59" s="61" t="s">
        <v>72</v>
      </c>
      <c r="B59" s="268">
        <f ca="1">SUM($B$50:$B$54,$E$50:$E$54)-(SUMIF(A50:A54,"Green Roofs",B50:B54)+SUMIF(C50:D54,"Green Roofs",E50:E54))</f>
        <v>0</v>
      </c>
      <c r="C59" s="268">
        <f ca="1">SUM($B$50:$B$54,$E$50:$E$54)-(SUMIF(A50:A54,"Green Roofs",B50:B54)+SUMIF(C50:D54,"Green Roofs",E50:E54))</f>
        <v>0</v>
      </c>
      <c r="D59" s="268">
        <f>SUM($B$50:$B$54,$E$50:$E$54)</f>
        <v>0</v>
      </c>
      <c r="E59" s="268">
        <f t="shared" ref="E59:F59" si="1">SUM($B$50:$B$54,$E$50:$E$54)</f>
        <v>0</v>
      </c>
      <c r="F59" s="268">
        <f t="shared" si="1"/>
        <v>0</v>
      </c>
      <c r="G59" s="60"/>
      <c r="K59" s="24"/>
      <c r="L59" s="13"/>
      <c r="M59" s="13"/>
      <c r="N59" s="13"/>
      <c r="O59" s="13"/>
    </row>
    <row r="60" spans="1:15" ht="15.6" x14ac:dyDescent="0.3">
      <c r="A60" s="81" t="s">
        <v>119</v>
      </c>
      <c r="B60" s="268">
        <f ca="1">IF((B58-B59)&gt;0,B58-B59,0)</f>
        <v>0</v>
      </c>
      <c r="C60" s="268">
        <f ca="1">IF((C58-C59)&gt;0,C58-C59,0)</f>
        <v>0</v>
      </c>
      <c r="D60" s="268">
        <f>IF((D58-D59)&gt;0,D58-D59,0)</f>
        <v>0</v>
      </c>
      <c r="E60" s="268">
        <f>IF((E58-E59)&gt;0,E58-E59,0)</f>
        <v>0</v>
      </c>
      <c r="F60" s="268">
        <f>IF((F58-F59)&gt;0,F58-F59,0)</f>
        <v>0</v>
      </c>
      <c r="G60" s="60"/>
      <c r="K60" s="13"/>
      <c r="L60" s="13"/>
      <c r="M60" s="13"/>
      <c r="N60" s="13"/>
      <c r="O60" s="13"/>
    </row>
    <row r="61" spans="1:15" x14ac:dyDescent="0.3">
      <c r="A61" s="59" t="s">
        <v>44</v>
      </c>
      <c r="B61" s="27" t="str">
        <f>IF(B58=0,"n/a",IF(ROUND(B60,4)=0,"Yes","No"))</f>
        <v>n/a</v>
      </c>
      <c r="C61" s="27" t="str">
        <f ca="1">IF(ROUND(C60,4)=0,"Yes", "No")</f>
        <v>Yes</v>
      </c>
      <c r="D61" s="27" t="str">
        <f>IF(ROUND(D60,4)=0,"Yes", "No")</f>
        <v>Yes</v>
      </c>
      <c r="E61" s="27" t="str">
        <f>IF(ROUND(E60,4)=0,"Yes", "No")</f>
        <v>Yes</v>
      </c>
      <c r="F61" s="27" t="str">
        <f>IF(ROUND(F60,4)=0,"Yes", "No")</f>
        <v>Yes</v>
      </c>
      <c r="G61" s="60"/>
      <c r="H61" s="43"/>
      <c r="K61" s="13"/>
      <c r="L61" s="13"/>
      <c r="M61" s="13"/>
      <c r="N61" s="13"/>
      <c r="O61" s="13"/>
    </row>
    <row r="62" spans="1:15" x14ac:dyDescent="0.3">
      <c r="A62" s="59"/>
      <c r="B62" s="25"/>
      <c r="C62" s="25"/>
      <c r="D62" s="25"/>
      <c r="E62" s="25"/>
      <c r="F62" s="25"/>
      <c r="G62" s="60"/>
      <c r="K62" s="13"/>
      <c r="L62" s="13"/>
      <c r="M62" s="13"/>
      <c r="N62" s="13"/>
      <c r="O62" s="13"/>
    </row>
    <row r="63" spans="1:15" ht="15.6" x14ac:dyDescent="0.3">
      <c r="A63" s="110" t="s">
        <v>43</v>
      </c>
      <c r="B63" s="29" t="s">
        <v>34</v>
      </c>
      <c r="C63" s="28" t="str">
        <f>IF(F32=0,"n/a",200/((2+B10+C58*(24/F32))-(5*B10*C58*(12/F32)+4*(C58*(12/F32))^2)^(1/2)))</f>
        <v>n/a</v>
      </c>
      <c r="D63" s="28" t="str">
        <f>IF(F32=0,"n/a",200/((2+C10+D45*(24/F32))-(5*C10*D45*(12/F32)+4*(D45*(12/F32))^2)^(1/2)))</f>
        <v>n/a</v>
      </c>
      <c r="E63" s="28" t="str">
        <f>IF(F32=0,"n/a",200/((2+D10+E45*(24/F32))-(5*D10*E45*(12/F32)+4*(E45*(12/F32))^2)^(1/2)))</f>
        <v>n/a</v>
      </c>
      <c r="F63" s="28" t="str">
        <f>IF(F32=0,"n/a",200/((2+E10+F45*(24/F32))-(5*E10*F45*(12/F32)+4*(F45*(12/F32))^2)^(1/2)))</f>
        <v>n/a</v>
      </c>
      <c r="G63" s="60"/>
      <c r="K63" s="24"/>
      <c r="L63" s="13"/>
      <c r="M63" s="13"/>
      <c r="N63" s="13"/>
      <c r="O63" s="13"/>
    </row>
    <row r="64" spans="1:15" ht="16.2" x14ac:dyDescent="0.35">
      <c r="A64" s="111" t="s">
        <v>42</v>
      </c>
      <c r="B64" s="30" t="s">
        <v>34</v>
      </c>
      <c r="C64" s="26" t="str">
        <f>IF(F32=0,"n/a",IF(B59&gt;C58,"n/a",200/(2+B10+((C58-$B$59)*24/F32)-SQRT(5*B10*(C58-$B$59)*12/F32+4*((C58-$B$59)*12/F32)^2))))</f>
        <v>n/a</v>
      </c>
      <c r="D64" s="26" t="str">
        <f>IF(F32=0,"n/a",IF(D59&gt;D45,0,200/(2+C10+((D45-$B$59)*24/F32)-SQRT(5*C10*(D45-$B$59)*12/F32+4*((D45-$B$59)*12/F32)^2))))</f>
        <v>n/a</v>
      </c>
      <c r="E64" s="26" t="str">
        <f>IF(F32=0,"n/a",IF(E59&gt;E45,0,200/(2+D10+((E45-$B$59)*24/F32)-SQRT(5*D10*(E45-$B$59)*12/F32+4*((E45-$B$59)*12/F32)^2))))</f>
        <v>n/a</v>
      </c>
      <c r="F64" s="26" t="str">
        <f>IF(F32=0,"n/a",IF(F59&gt;F45,0,200/(2+E10+((F45-$B$59)*24/F32)-SQRT(5*E10*(F45-$B$59)*12/F32+4*((F45-$B$59)*12/F32)^2))))</f>
        <v>n/a</v>
      </c>
      <c r="G64" s="60"/>
      <c r="K64" s="24"/>
      <c r="L64" s="6"/>
      <c r="M64" s="13"/>
      <c r="N64" s="13"/>
      <c r="O64" s="13"/>
    </row>
    <row r="65" spans="1:15" ht="15.6" x14ac:dyDescent="0.3">
      <c r="A65" s="112" t="s">
        <v>36</v>
      </c>
      <c r="B65" s="82" t="s">
        <v>34</v>
      </c>
      <c r="C65" s="83" t="s">
        <v>34</v>
      </c>
      <c r="D65" s="84" t="str">
        <f>IF(F20-F19=0,"n/a",200/(C10+2*D44*12/(F20-F19)+2-SQRT(5*C10*D44*12/(F20-F19)+4*(D44*12/(F20-F19))^2)))</f>
        <v>n/a</v>
      </c>
      <c r="E65" s="84" t="str">
        <f>IF((F20-F19)=0,"n/a",200/(D10+2*E44*12/(F20-F19)+2-SQRT(5*D10*E44*12/(F20-F19)+4*(E44*12/(F20-F19))^2)))</f>
        <v>n/a</v>
      </c>
      <c r="F65" s="84" t="str">
        <f>IF((F20-F19)=0,"n/a",200/(E10+2*F44*12/(F20-F19)+2-SQRT(5*E10*F44*12/(F20-F19)+4*(F44*12/(F20-F19))^2)))</f>
        <v>n/a</v>
      </c>
      <c r="G65" s="60"/>
      <c r="K65" s="24"/>
      <c r="L65" s="6"/>
      <c r="M65" s="13"/>
      <c r="N65" s="13"/>
      <c r="O65" s="13"/>
    </row>
    <row r="66" spans="1:15" ht="16.2" thickBot="1" x14ac:dyDescent="0.35">
      <c r="A66" s="16"/>
      <c r="B66" s="17"/>
      <c r="C66" s="17"/>
      <c r="D66" s="17"/>
      <c r="E66" s="17"/>
      <c r="F66" s="17"/>
      <c r="G66" s="70"/>
      <c r="K66" s="24"/>
      <c r="L66" s="13"/>
      <c r="M66" s="13"/>
      <c r="N66" s="13"/>
      <c r="O66" s="13"/>
    </row>
    <row r="67" spans="1:15" ht="15.6" x14ac:dyDescent="0.3">
      <c r="A67" s="56" t="s">
        <v>76</v>
      </c>
      <c r="B67" s="57"/>
      <c r="C67" s="57"/>
      <c r="D67" s="57"/>
      <c r="E67" s="57"/>
      <c r="F67" s="178">
        <v>1</v>
      </c>
      <c r="G67" s="58"/>
      <c r="K67" s="24"/>
      <c r="L67" s="6"/>
      <c r="M67" s="13"/>
      <c r="N67" s="13"/>
      <c r="O67" s="13"/>
    </row>
    <row r="68" spans="1:15" ht="30.6" customHeight="1" x14ac:dyDescent="0.3">
      <c r="A68" s="59" t="s">
        <v>77</v>
      </c>
      <c r="B68" s="174"/>
      <c r="C68" s="386" t="str">
        <f>IF(F67=1,"","Reason recharge not required (if No is selected):")</f>
        <v/>
      </c>
      <c r="D68" s="386"/>
      <c r="E68" s="387"/>
      <c r="F68" s="387"/>
      <c r="G68" s="60"/>
      <c r="K68" s="24"/>
      <c r="L68" s="6"/>
      <c r="M68" s="13"/>
      <c r="N68" s="13"/>
      <c r="O68" s="13"/>
    </row>
    <row r="69" spans="1:15" ht="15.6" x14ac:dyDescent="0.3">
      <c r="A69" s="59" t="s">
        <v>117</v>
      </c>
      <c r="B69" s="265">
        <f>((B27+B28)*Lookup!B21+(C27+C28)*Lookup!C21+(D27+D28)*Lookup!D21+(E27+E28)*Lookup!E21*(F27+F28))/12</f>
        <v>0</v>
      </c>
      <c r="C69" s="301"/>
      <c r="D69" s="301"/>
      <c r="E69" s="182"/>
      <c r="F69" s="182"/>
      <c r="G69" s="60"/>
      <c r="K69" s="24"/>
      <c r="L69" s="6"/>
      <c r="M69" s="13"/>
      <c r="N69" s="13"/>
      <c r="O69" s="13"/>
    </row>
    <row r="70" spans="1:15" ht="42.6" customHeight="1" x14ac:dyDescent="0.3">
      <c r="A70" s="302" t="s">
        <v>110</v>
      </c>
      <c r="B70" s="27" t="str">
        <f>B61</f>
        <v>n/a</v>
      </c>
      <c r="C70" s="388" t="str">
        <f>IF(B70="No",IF(F67=1,"NOTE: Treatment provided is insufficient to meet the recharge standard within this drainage area.  Add more infiltrating practices unless recharge is being met site-wide. (check summary tab)","Standard not applicable."),"")</f>
        <v/>
      </c>
      <c r="D70" s="389"/>
      <c r="E70" s="389"/>
      <c r="F70" s="389"/>
      <c r="G70" s="390"/>
      <c r="K70" s="24"/>
      <c r="L70" s="13"/>
      <c r="M70" s="13"/>
      <c r="N70" s="13"/>
      <c r="O70" s="13"/>
    </row>
    <row r="71" spans="1:15" ht="101.4" customHeight="1" thickBot="1" x14ac:dyDescent="0.35">
      <c r="A71" s="222" t="s">
        <v>167</v>
      </c>
      <c r="B71" s="412"/>
      <c r="C71" s="412"/>
      <c r="D71" s="412"/>
      <c r="E71" s="412"/>
      <c r="F71" s="412"/>
      <c r="G71" s="413"/>
      <c r="K71" s="24"/>
      <c r="L71" s="6"/>
      <c r="M71" s="13"/>
      <c r="N71" s="13"/>
      <c r="O71" s="13"/>
    </row>
    <row r="72" spans="1:15" ht="75" customHeight="1" thickBot="1" x14ac:dyDescent="0.35">
      <c r="A72" s="269"/>
      <c r="B72" s="270"/>
      <c r="C72" s="270"/>
      <c r="D72" s="270"/>
      <c r="E72" s="270"/>
      <c r="F72" s="270"/>
      <c r="G72" s="270"/>
      <c r="K72" s="24"/>
      <c r="L72" s="6"/>
      <c r="M72" s="13"/>
      <c r="N72" s="13"/>
      <c r="O72" s="13"/>
    </row>
    <row r="73" spans="1:15" ht="15.6" x14ac:dyDescent="0.3">
      <c r="A73" s="56" t="s">
        <v>95</v>
      </c>
      <c r="B73" s="57"/>
      <c r="C73" s="57"/>
      <c r="D73" s="57"/>
      <c r="E73" s="178">
        <v>1</v>
      </c>
      <c r="F73" s="178">
        <v>1</v>
      </c>
      <c r="G73" s="58"/>
      <c r="K73" s="24"/>
      <c r="L73" s="6"/>
      <c r="M73" s="13"/>
      <c r="N73" s="13"/>
      <c r="O73" s="13"/>
    </row>
    <row r="74" spans="1:15" ht="15" customHeight="1" x14ac:dyDescent="0.3">
      <c r="A74" s="91"/>
      <c r="B74" s="7" t="s">
        <v>233</v>
      </c>
      <c r="C74" s="13"/>
      <c r="D74" s="13"/>
      <c r="E74" s="13"/>
      <c r="F74" s="7" t="s">
        <v>236</v>
      </c>
      <c r="G74" s="60"/>
      <c r="K74" s="24"/>
      <c r="L74" s="6"/>
      <c r="M74" s="13"/>
      <c r="N74" s="13"/>
      <c r="O74" s="13"/>
    </row>
    <row r="75" spans="1:15" ht="16.2" x14ac:dyDescent="0.35">
      <c r="A75" s="67" t="s">
        <v>221</v>
      </c>
      <c r="B75" s="265">
        <f>IF(F27+F28=0,0,(0.05+0.9*(G27+G28))*1*F32/12)</f>
        <v>0</v>
      </c>
      <c r="C75" s="373" t="s">
        <v>235</v>
      </c>
      <c r="D75" s="374"/>
      <c r="E75" s="75">
        <f>G35</f>
        <v>0</v>
      </c>
      <c r="G75" s="60"/>
      <c r="K75" s="24"/>
      <c r="L75" s="6"/>
      <c r="M75" s="13"/>
      <c r="N75" s="13"/>
      <c r="O75" s="13"/>
    </row>
    <row r="76" spans="1:15" ht="30" customHeight="1" x14ac:dyDescent="0.3">
      <c r="A76" s="61" t="s">
        <v>222</v>
      </c>
      <c r="B76" s="265">
        <f>IF(F30=0,0,IF(F73=2,IF(E76&gt;25%,0,(0.05+0.9*G30)*1*F32/12*(50%-2*E76)),(0.05+0.9*G30)*1*F32/12*0.5))</f>
        <v>0</v>
      </c>
      <c r="C76" s="375" t="s">
        <v>234</v>
      </c>
      <c r="D76" s="376"/>
      <c r="E76" s="225">
        <f>G36</f>
        <v>0</v>
      </c>
      <c r="G76" s="226" t="str">
        <f>IF(E76="n/a","",IF(E76&gt;25%,"Max 25% applied",""))</f>
        <v/>
      </c>
      <c r="K76" s="24"/>
      <c r="L76" s="13"/>
      <c r="M76" s="13"/>
      <c r="N76" s="13"/>
      <c r="O76" s="13"/>
    </row>
    <row r="77" spans="1:15" ht="15" customHeight="1" x14ac:dyDescent="0.3">
      <c r="A77" s="59" t="s">
        <v>111</v>
      </c>
      <c r="B77" s="265">
        <f>IF(E73=2,IF(E75&lt;5%,B75+B76,(B75+B76)*(100%-E75)),B75+B76)</f>
        <v>0</v>
      </c>
      <c r="C77" s="377" t="str">
        <f>IF(E73+F73=4,"ERROR! Net Reduction and Redevelopment cannot both apply","")</f>
        <v/>
      </c>
      <c r="D77" s="378"/>
      <c r="E77" s="378"/>
      <c r="F77" s="378"/>
      <c r="G77" s="379"/>
      <c r="K77" s="24"/>
      <c r="L77" s="13"/>
      <c r="M77" s="13"/>
      <c r="N77" s="13"/>
      <c r="O77" s="13"/>
    </row>
    <row r="78" spans="1:15" ht="30" x14ac:dyDescent="0.3">
      <c r="A78" s="302" t="s">
        <v>204</v>
      </c>
      <c r="B78" s="306">
        <f ca="1">IF(C59&gt;C58,C58,C59)</f>
        <v>0</v>
      </c>
      <c r="C78" s="63"/>
      <c r="D78" s="371" t="s">
        <v>209</v>
      </c>
      <c r="E78" s="371"/>
      <c r="F78" s="185"/>
      <c r="G78" s="186">
        <v>1</v>
      </c>
      <c r="K78" s="24"/>
      <c r="L78" s="13"/>
      <c r="M78" s="13"/>
      <c r="N78" s="13"/>
      <c r="O78" s="13"/>
    </row>
    <row r="79" spans="1:15" ht="30.6" customHeight="1" x14ac:dyDescent="0.3">
      <c r="A79" s="224" t="s">
        <v>149</v>
      </c>
      <c r="B79" s="306">
        <f ca="1">IF(G78=2,"N/A",IF(B77-B78&lt;0,0,B77-B78))</f>
        <v>0</v>
      </c>
      <c r="C79" s="63"/>
      <c r="D79" s="223"/>
      <c r="E79" s="223"/>
      <c r="F79" s="13"/>
      <c r="G79" s="64"/>
      <c r="K79" s="24"/>
      <c r="L79" s="13"/>
      <c r="M79" s="13"/>
      <c r="N79" s="13"/>
      <c r="O79" s="13"/>
    </row>
    <row r="80" spans="1:15" ht="10.8" customHeight="1" x14ac:dyDescent="0.3">
      <c r="A80" s="302"/>
      <c r="B80" s="13"/>
      <c r="C80" s="63"/>
      <c r="D80" s="13"/>
      <c r="E80" s="13"/>
      <c r="F80" s="13"/>
      <c r="G80" s="60"/>
      <c r="K80" s="13"/>
      <c r="L80" s="6"/>
      <c r="M80" s="13"/>
      <c r="N80" s="13"/>
      <c r="O80" s="13"/>
    </row>
    <row r="81" spans="1:15" ht="28.8" customHeight="1" x14ac:dyDescent="0.3">
      <c r="A81" s="401" t="str">
        <f>IF(B82="","","NOTE: Please include a copy of the appropriate STP worksheet(s) with the application.")</f>
        <v/>
      </c>
      <c r="B81" s="391" t="s">
        <v>160</v>
      </c>
      <c r="C81" s="392"/>
      <c r="D81" s="393"/>
      <c r="E81" s="297" t="s">
        <v>147</v>
      </c>
      <c r="F81" s="303" t="s">
        <v>138</v>
      </c>
      <c r="G81" s="60"/>
      <c r="K81" s="13"/>
      <c r="L81" s="6"/>
      <c r="M81" s="13"/>
      <c r="N81" s="13"/>
      <c r="O81" s="13"/>
    </row>
    <row r="82" spans="1:15" x14ac:dyDescent="0.3">
      <c r="A82" s="401"/>
      <c r="B82" s="372"/>
      <c r="C82" s="372"/>
      <c r="D82" s="372"/>
      <c r="E82" s="305"/>
      <c r="F82" s="108" t="str">
        <f>IF(B82="","",VLOOKUP(B82,Lookup!$H$13:$I$19,2,FALSE))</f>
        <v/>
      </c>
      <c r="G82" s="60"/>
    </row>
    <row r="83" spans="1:15" x14ac:dyDescent="0.3">
      <c r="A83" s="401"/>
      <c r="B83" s="372"/>
      <c r="C83" s="372"/>
      <c r="D83" s="372"/>
      <c r="E83" s="305"/>
      <c r="F83" s="108" t="str">
        <f>IF(B83="","",VLOOKUP(B83,Lookup!$H$13:$I$19,2,FALSE))</f>
        <v/>
      </c>
      <c r="G83" s="60"/>
    </row>
    <row r="84" spans="1:15" x14ac:dyDescent="0.3">
      <c r="A84" s="401"/>
      <c r="B84" s="372"/>
      <c r="C84" s="372"/>
      <c r="D84" s="372"/>
      <c r="E84" s="305"/>
      <c r="F84" s="108" t="str">
        <f>IF(B84="","",VLOOKUP(B84,Lookup!$H$13:$I$19,2,FALSE))</f>
        <v/>
      </c>
      <c r="G84" s="60"/>
    </row>
    <row r="85" spans="1:15" ht="15.6" x14ac:dyDescent="0.35">
      <c r="A85" s="118"/>
      <c r="B85" s="19"/>
      <c r="C85" s="19"/>
      <c r="D85" s="1" t="s">
        <v>153</v>
      </c>
      <c r="E85" s="307">
        <f>SUM(E82:E84)</f>
        <v>0</v>
      </c>
      <c r="F85" s="13" t="s">
        <v>90</v>
      </c>
      <c r="G85" s="60"/>
    </row>
    <row r="86" spans="1:15" ht="15.6" x14ac:dyDescent="0.35">
      <c r="A86" s="68"/>
      <c r="B86" s="19"/>
      <c r="C86" s="19"/>
      <c r="D86" s="1" t="s">
        <v>203</v>
      </c>
      <c r="E86" s="134" t="str">
        <f ca="1">IF(G78=2,"Yes",IF(ROUND(E85,4)&gt;=ROUND(B79,4),"Yes","No"))</f>
        <v>Yes</v>
      </c>
      <c r="F86" s="13"/>
      <c r="G86" s="60"/>
    </row>
    <row r="87" spans="1:15" ht="14.4" customHeight="1" x14ac:dyDescent="0.3">
      <c r="A87" s="368" t="str">
        <f ca="1">IF(E86="No","NOTE:  Add more water quality practices unless site balancing is being used. (Check summary tab)","")</f>
        <v/>
      </c>
      <c r="B87" s="369"/>
      <c r="C87" s="369"/>
      <c r="D87" s="369"/>
      <c r="E87" s="369"/>
      <c r="F87" s="369"/>
      <c r="G87" s="370"/>
    </row>
    <row r="88" spans="1:15" ht="51.6" customHeight="1" thickBot="1" x14ac:dyDescent="0.35">
      <c r="A88" s="239" t="s">
        <v>168</v>
      </c>
      <c r="B88" s="414"/>
      <c r="C88" s="414"/>
      <c r="D88" s="414"/>
      <c r="E88" s="414"/>
      <c r="F88" s="414"/>
      <c r="G88" s="414"/>
    </row>
    <row r="89" spans="1:15" ht="15.6" x14ac:dyDescent="0.3">
      <c r="A89" s="56" t="s">
        <v>96</v>
      </c>
      <c r="B89" s="57"/>
      <c r="C89" s="57"/>
      <c r="D89" s="57"/>
      <c r="E89" s="178">
        <v>1</v>
      </c>
      <c r="F89" s="178">
        <v>1</v>
      </c>
      <c r="G89" s="58"/>
    </row>
    <row r="90" spans="1:15" ht="29.4" customHeight="1" x14ac:dyDescent="0.3">
      <c r="A90" s="59" t="s">
        <v>77</v>
      </c>
      <c r="B90" s="125"/>
      <c r="C90" s="364" t="str">
        <f>IF(F89=2,"Waiver (if No is selected):","")</f>
        <v/>
      </c>
      <c r="D90" s="364"/>
      <c r="E90" s="380"/>
      <c r="F90" s="380"/>
      <c r="G90" s="60"/>
      <c r="M90" s="41"/>
    </row>
    <row r="91" spans="1:15" s="49" customFormat="1" ht="37.200000000000003" customHeight="1" x14ac:dyDescent="0.3">
      <c r="A91" s="59" t="s">
        <v>80</v>
      </c>
      <c r="B91" s="27" t="str">
        <f>D61</f>
        <v>Yes</v>
      </c>
      <c r="C91" s="348" t="str">
        <f>IF(B91="Yes","The channel protection standard has been fully met with hydrologic condition method. Additional treatment of the 1 year storm is not required.","The channel protection standard has not been fully met. Either increase Tv credit to fully meet HCM or provide extended detention.")</f>
        <v>The channel protection standard has been fully met with hydrologic condition method. Additional treatment of the 1 year storm is not required.</v>
      </c>
      <c r="D91" s="349"/>
      <c r="E91" s="349"/>
      <c r="F91" s="349"/>
      <c r="G91" s="350"/>
    </row>
    <row r="92" spans="1:15" s="49" customFormat="1" ht="31.2" customHeight="1" x14ac:dyDescent="0.3">
      <c r="A92" s="61" t="s">
        <v>81</v>
      </c>
      <c r="B92" s="62" t="str">
        <f>IF(D60&gt;0,D45-D59,"n/a")</f>
        <v>n/a</v>
      </c>
      <c r="C92" s="54" t="s">
        <v>90</v>
      </c>
      <c r="D92" s="31"/>
      <c r="E92" s="13"/>
      <c r="F92" s="63"/>
      <c r="G92" s="64"/>
    </row>
    <row r="93" spans="1:15" ht="34.799999999999997" customHeight="1" x14ac:dyDescent="0.3">
      <c r="A93" s="61" t="s">
        <v>92</v>
      </c>
      <c r="B93" s="125"/>
      <c r="C93" s="65" t="s">
        <v>94</v>
      </c>
      <c r="D93" s="304" t="s">
        <v>93</v>
      </c>
      <c r="E93" s="363" t="str">
        <f>IF(E89=1,"12 hours of extended detention","24 hours of extended detention")</f>
        <v>12 hours of extended detention</v>
      </c>
      <c r="F93" s="363"/>
      <c r="G93" s="60"/>
    </row>
    <row r="94" spans="1:15" ht="15" customHeight="1" x14ac:dyDescent="0.3">
      <c r="A94" s="381" t="str">
        <f>HYPERLINK("http://dec.vermont.gov/sites/dec/files/documents/wsmd_water_quality_standards_2016.pdf", "See the Vermont Water Quality Standards for warm and cold water designations")</f>
        <v>See the Vermont Water Quality Standards for warm and cold water designations</v>
      </c>
      <c r="B94" s="382"/>
      <c r="C94" s="382"/>
      <c r="D94" s="13"/>
      <c r="E94" s="358" t="s">
        <v>150</v>
      </c>
      <c r="F94" s="358"/>
      <c r="G94" s="179" t="b">
        <v>0</v>
      </c>
    </row>
    <row r="95" spans="1:15" ht="14.4" customHeight="1" x14ac:dyDescent="0.3">
      <c r="A95" s="381"/>
      <c r="B95" s="382"/>
      <c r="C95" s="382"/>
      <c r="D95" s="13"/>
      <c r="E95" s="359" t="s">
        <v>182</v>
      </c>
      <c r="F95" s="359"/>
      <c r="G95" s="360"/>
    </row>
    <row r="96" spans="1:15" x14ac:dyDescent="0.3">
      <c r="A96" s="299"/>
      <c r="B96" s="300"/>
      <c r="C96" s="13"/>
      <c r="D96" s="13"/>
      <c r="E96" s="359"/>
      <c r="F96" s="359"/>
      <c r="G96" s="360"/>
    </row>
    <row r="97" spans="1:7" x14ac:dyDescent="0.3">
      <c r="A97" s="66" t="s">
        <v>151</v>
      </c>
      <c r="B97" s="418"/>
      <c r="C97" s="419"/>
      <c r="D97" s="13"/>
      <c r="E97" s="183"/>
      <c r="F97" s="361" t="str">
        <f>IF(G94=TRUE,"detention time (hrs)","")</f>
        <v/>
      </c>
      <c r="G97" s="362"/>
    </row>
    <row r="98" spans="1:7" ht="11.4" customHeight="1" x14ac:dyDescent="0.3">
      <c r="A98" s="66"/>
      <c r="B98" s="55"/>
      <c r="C98" s="55"/>
      <c r="D98" s="13"/>
      <c r="E98" s="13"/>
      <c r="F98" s="13"/>
      <c r="G98" s="60"/>
    </row>
    <row r="99" spans="1:7" ht="45.6" customHeight="1" x14ac:dyDescent="0.3">
      <c r="A99" s="343" t="s">
        <v>210</v>
      </c>
      <c r="B99" s="344"/>
      <c r="C99" s="344"/>
      <c r="D99" s="344"/>
      <c r="E99" s="344"/>
      <c r="F99" s="344"/>
      <c r="G99" s="345"/>
    </row>
    <row r="100" spans="1:7" s="49" customFormat="1" ht="31.2" customHeight="1" x14ac:dyDescent="0.3">
      <c r="A100" s="59" t="s">
        <v>91</v>
      </c>
      <c r="B100" s="128" t="str">
        <f>D64</f>
        <v>n/a</v>
      </c>
      <c r="C100" s="383" t="s">
        <v>223</v>
      </c>
      <c r="D100" s="384"/>
      <c r="E100" s="129">
        <f>IF(E41=0,0,(F41^0.8)*(((1000/IF(B100&gt;95,95,IF(B100&lt;50,50,B100)))-9)^0.7)/(1140*E41^0.5)*60)</f>
        <v>0</v>
      </c>
      <c r="F100" s="73" t="s">
        <v>102</v>
      </c>
      <c r="G100" s="64"/>
    </row>
    <row r="101" spans="1:7" ht="49.2" customHeight="1" thickBot="1" x14ac:dyDescent="0.35">
      <c r="A101" s="222" t="s">
        <v>169</v>
      </c>
      <c r="B101" s="365"/>
      <c r="C101" s="366"/>
      <c r="D101" s="366"/>
      <c r="E101" s="366"/>
      <c r="F101" s="366"/>
      <c r="G101" s="367"/>
    </row>
    <row r="102" spans="1:7" ht="18" x14ac:dyDescent="0.4">
      <c r="A102" s="56" t="s">
        <v>97</v>
      </c>
      <c r="B102" s="57"/>
      <c r="C102" s="57"/>
      <c r="D102" s="57"/>
      <c r="E102" s="57"/>
      <c r="F102" s="178">
        <v>1</v>
      </c>
      <c r="G102" s="58"/>
    </row>
    <row r="103" spans="1:7" ht="29.4" customHeight="1" x14ac:dyDescent="0.3">
      <c r="A103" s="59" t="s">
        <v>77</v>
      </c>
      <c r="B103" s="127"/>
      <c r="C103" s="364" t="str">
        <f>IF(F102=1,"","Waiver (if No is selected):")</f>
        <v/>
      </c>
      <c r="D103" s="364"/>
      <c r="E103" s="380"/>
      <c r="F103" s="380"/>
      <c r="G103" s="60"/>
    </row>
    <row r="104" spans="1:7" ht="43.2" customHeight="1" x14ac:dyDescent="0.3">
      <c r="A104" s="59" t="s">
        <v>80</v>
      </c>
      <c r="B104" s="27" t="str">
        <f>E61</f>
        <v>Yes</v>
      </c>
      <c r="C104" s="348" t="str">
        <f>IF(B104="Yes","The QP10 standard has been fully met.  No additional STPs are required.","The QP10 standard has not been fully met. Provide additional STPs to ensure post development peak runoff does not exceed pre development peak runoff for the 10 yr, 24 hour storm event.")</f>
        <v>The QP10 standard has been fully met.  No additional STPs are required.</v>
      </c>
      <c r="D104" s="349"/>
      <c r="E104" s="349"/>
      <c r="F104" s="349"/>
      <c r="G104" s="350"/>
    </row>
    <row r="105" spans="1:7" x14ac:dyDescent="0.3">
      <c r="A105" s="68" t="s">
        <v>104</v>
      </c>
      <c r="B105" s="357"/>
      <c r="C105" s="357"/>
      <c r="D105" s="357"/>
      <c r="E105" s="357"/>
      <c r="F105" s="357"/>
      <c r="G105" s="60"/>
    </row>
    <row r="106" spans="1:7" x14ac:dyDescent="0.3">
      <c r="A106" s="14"/>
      <c r="B106" s="13"/>
      <c r="C106" s="20" t="s">
        <v>105</v>
      </c>
      <c r="D106" s="176"/>
      <c r="E106" s="13"/>
      <c r="F106" s="13"/>
      <c r="G106" s="60"/>
    </row>
    <row r="107" spans="1:7" x14ac:dyDescent="0.3">
      <c r="A107" s="14"/>
      <c r="B107" s="13"/>
      <c r="C107" s="20" t="s">
        <v>107</v>
      </c>
      <c r="D107" s="176"/>
      <c r="E107" s="13"/>
      <c r="F107" s="13"/>
      <c r="G107" s="60"/>
    </row>
    <row r="108" spans="1:7" x14ac:dyDescent="0.3">
      <c r="A108" s="14"/>
      <c r="B108" s="13"/>
      <c r="C108" s="20" t="s">
        <v>106</v>
      </c>
      <c r="D108" s="176"/>
      <c r="E108" s="13"/>
      <c r="F108" s="13"/>
      <c r="G108" s="60"/>
    </row>
    <row r="109" spans="1:7" x14ac:dyDescent="0.3">
      <c r="A109" s="14"/>
      <c r="B109" s="13"/>
      <c r="C109" s="20"/>
      <c r="D109" s="19"/>
      <c r="E109" s="13"/>
      <c r="F109" s="13"/>
      <c r="G109" s="60"/>
    </row>
    <row r="110" spans="1:7" ht="46.8" customHeight="1" x14ac:dyDescent="0.3">
      <c r="A110" s="343" t="s">
        <v>211</v>
      </c>
      <c r="B110" s="344"/>
      <c r="C110" s="344"/>
      <c r="D110" s="344"/>
      <c r="E110" s="344"/>
      <c r="F110" s="344"/>
      <c r="G110" s="345"/>
    </row>
    <row r="111" spans="1:7" ht="28.8" customHeight="1" x14ac:dyDescent="0.3">
      <c r="A111" s="194" t="s">
        <v>224</v>
      </c>
      <c r="B111" s="71" t="str">
        <f>E65</f>
        <v>n/a</v>
      </c>
      <c r="C111" s="420" t="s">
        <v>225</v>
      </c>
      <c r="D111" s="421"/>
      <c r="E111" s="72">
        <f>IF(E40=0,0,(F40^0.8)*(((1000/IF(B111&gt;95,95,IF(B111&lt;50,50,B111)))-9)^0.7)/(1140*E40^0.5)*60)</f>
        <v>0</v>
      </c>
      <c r="F111" s="346" t="s">
        <v>102</v>
      </c>
      <c r="G111" s="298"/>
    </row>
    <row r="112" spans="1:7" ht="28.8" customHeight="1" x14ac:dyDescent="0.3">
      <c r="A112" s="59" t="s">
        <v>91</v>
      </c>
      <c r="B112" s="71" t="str">
        <f>E64</f>
        <v>n/a</v>
      </c>
      <c r="C112" s="383" t="s">
        <v>223</v>
      </c>
      <c r="D112" s="384"/>
      <c r="E112" s="72">
        <f>IF(E41=0,0,(F41^0.8)*(((1000/IF(B112&gt;95,95,IF(B112&lt;50,50,B112)))-9)^0.7)/(1140*E41^0.5)*60)</f>
        <v>0</v>
      </c>
      <c r="F112" s="347"/>
      <c r="G112" s="64"/>
    </row>
    <row r="113" spans="1:7" ht="57.6" customHeight="1" thickBot="1" x14ac:dyDescent="0.35">
      <c r="A113" s="124" t="s">
        <v>170</v>
      </c>
      <c r="B113" s="365"/>
      <c r="C113" s="366"/>
      <c r="D113" s="366"/>
      <c r="E113" s="366"/>
      <c r="F113" s="366"/>
      <c r="G113" s="367"/>
    </row>
    <row r="114" spans="1:7" ht="18" x14ac:dyDescent="0.4">
      <c r="A114" s="56" t="s">
        <v>108</v>
      </c>
      <c r="B114" s="57"/>
      <c r="C114" s="57"/>
      <c r="D114" s="57"/>
      <c r="E114" s="57"/>
      <c r="F114" s="178">
        <v>1</v>
      </c>
      <c r="G114" s="58"/>
    </row>
    <row r="115" spans="1:7" ht="28.8" customHeight="1" x14ac:dyDescent="0.3">
      <c r="A115" s="59" t="s">
        <v>77</v>
      </c>
      <c r="B115" s="126"/>
      <c r="C115" s="364" t="str">
        <f>IF(F114=1,"","Waiver (if No is selected):")</f>
        <v/>
      </c>
      <c r="D115" s="364"/>
      <c r="E115" s="380"/>
      <c r="F115" s="380"/>
      <c r="G115" s="60"/>
    </row>
    <row r="116" spans="1:7" ht="43.2" customHeight="1" x14ac:dyDescent="0.3">
      <c r="A116" s="59" t="s">
        <v>80</v>
      </c>
      <c r="B116" s="27" t="str">
        <f>F61</f>
        <v>Yes</v>
      </c>
      <c r="C116" s="348" t="str">
        <f>IF(B116="Yes","The extreme flood standard has been fully met.  No additional STPs are required.","The extreme standard has not been fully met. Provide additional STPs to ensure post development peak runoff does not exceed pre development peak runoff for the 100 yr, 24 hour storm event.")</f>
        <v>The extreme flood standard has been fully met.  No additional STPs are required.</v>
      </c>
      <c r="D116" s="349"/>
      <c r="E116" s="349"/>
      <c r="F116" s="349"/>
      <c r="G116" s="350"/>
    </row>
    <row r="117" spans="1:7" x14ac:dyDescent="0.3">
      <c r="A117" s="68" t="s">
        <v>104</v>
      </c>
      <c r="B117" s="424"/>
      <c r="C117" s="424"/>
      <c r="D117" s="424"/>
      <c r="E117" s="424"/>
      <c r="F117" s="424"/>
      <c r="G117" s="60"/>
    </row>
    <row r="118" spans="1:7" x14ac:dyDescent="0.3">
      <c r="A118" s="14"/>
      <c r="B118" s="13"/>
      <c r="C118" s="20" t="s">
        <v>105</v>
      </c>
      <c r="D118" s="177"/>
      <c r="E118" s="13"/>
      <c r="F118" s="13"/>
      <c r="G118" s="60"/>
    </row>
    <row r="119" spans="1:7" x14ac:dyDescent="0.3">
      <c r="A119" s="14"/>
      <c r="B119" s="13"/>
      <c r="C119" s="20" t="s">
        <v>107</v>
      </c>
      <c r="D119" s="177"/>
      <c r="E119" s="13"/>
      <c r="F119" s="13"/>
      <c r="G119" s="60"/>
    </row>
    <row r="120" spans="1:7" x14ac:dyDescent="0.3">
      <c r="A120" s="14"/>
      <c r="B120" s="13"/>
      <c r="C120" s="20" t="s">
        <v>106</v>
      </c>
      <c r="D120" s="177"/>
      <c r="E120" s="13"/>
      <c r="F120" s="13"/>
      <c r="G120" s="60"/>
    </row>
    <row r="121" spans="1:7" x14ac:dyDescent="0.3">
      <c r="A121" s="14"/>
      <c r="B121" s="13"/>
      <c r="C121" s="13"/>
      <c r="D121" s="13"/>
      <c r="E121" s="13"/>
      <c r="F121" s="13"/>
      <c r="G121" s="60"/>
    </row>
    <row r="122" spans="1:7" ht="45.6" customHeight="1" x14ac:dyDescent="0.3">
      <c r="A122" s="343" t="s">
        <v>215</v>
      </c>
      <c r="B122" s="344"/>
      <c r="C122" s="344"/>
      <c r="D122" s="344"/>
      <c r="E122" s="344"/>
      <c r="F122" s="344"/>
      <c r="G122" s="345"/>
    </row>
    <row r="123" spans="1:7" ht="32.4" customHeight="1" x14ac:dyDescent="0.3">
      <c r="A123" s="194" t="s">
        <v>224</v>
      </c>
      <c r="B123" s="71" t="str">
        <f>F65</f>
        <v>n/a</v>
      </c>
      <c r="C123" s="420" t="s">
        <v>225</v>
      </c>
      <c r="D123" s="421"/>
      <c r="E123" s="72">
        <f>IF(E40=0,0,(F40^0.8)*(((1000/IF(B123&gt;95,95,IF(B123&lt;50,50,B123)))-9)^0.7)/(1140*E40^0.5)*60)</f>
        <v>0</v>
      </c>
      <c r="F123" s="422" t="s">
        <v>102</v>
      </c>
      <c r="G123" s="298"/>
    </row>
    <row r="124" spans="1:7" ht="28.8" customHeight="1" x14ac:dyDescent="0.3">
      <c r="A124" s="59" t="s">
        <v>91</v>
      </c>
      <c r="B124" s="71" t="str">
        <f>F64</f>
        <v>n/a</v>
      </c>
      <c r="C124" s="383" t="s">
        <v>223</v>
      </c>
      <c r="D124" s="384"/>
      <c r="E124" s="72">
        <f>IF(E41=0,0,(F41^0.8)*(((1000/IF(B124&gt;95,95,IF(B124&lt;50,50,B124)))-9)^0.7)/(1140*E41^0.5)*60)</f>
        <v>0</v>
      </c>
      <c r="F124" s="423"/>
      <c r="G124" s="64"/>
    </row>
    <row r="125" spans="1:7" ht="57.6" customHeight="1" thickBot="1" x14ac:dyDescent="0.35">
      <c r="A125" s="124" t="s">
        <v>171</v>
      </c>
      <c r="B125" s="365"/>
      <c r="C125" s="366"/>
      <c r="D125" s="366"/>
      <c r="E125" s="366"/>
      <c r="F125" s="366"/>
      <c r="G125" s="367"/>
    </row>
  </sheetData>
  <sheetProtection algorithmName="SHA-512" hashValue="8P24TXDWPemMX282kv+Sqzfx8ihnEutnWaMmLYlgSNGS13To7p3sZrDUGjnyTPDD9gBR75UUkXCUC30t4frlQw==" saltValue="ZRNLQnh/64LxmMNuTk7MLA==" spinCount="100000" sheet="1" objects="1" scenarios="1"/>
  <dataConsolidate/>
  <mergeCells count="67">
    <mergeCell ref="A38:G38"/>
    <mergeCell ref="D2:F2"/>
    <mergeCell ref="D3:F3"/>
    <mergeCell ref="D4:F4"/>
    <mergeCell ref="D5:F5"/>
    <mergeCell ref="D6:F6"/>
    <mergeCell ref="B8:D8"/>
    <mergeCell ref="A13:F13"/>
    <mergeCell ref="G14:G15"/>
    <mergeCell ref="A21:G21"/>
    <mergeCell ref="A22:F22"/>
    <mergeCell ref="B31:E31"/>
    <mergeCell ref="E68:F68"/>
    <mergeCell ref="A39:B41"/>
    <mergeCell ref="A44:C44"/>
    <mergeCell ref="A45:C45"/>
    <mergeCell ref="A48:G48"/>
    <mergeCell ref="C49:D49"/>
    <mergeCell ref="C50:D50"/>
    <mergeCell ref="C51:D51"/>
    <mergeCell ref="C52:D52"/>
    <mergeCell ref="C53:D53"/>
    <mergeCell ref="C54:D54"/>
    <mergeCell ref="C68:D68"/>
    <mergeCell ref="A87:G87"/>
    <mergeCell ref="C70:G70"/>
    <mergeCell ref="B71:G71"/>
    <mergeCell ref="C75:D75"/>
    <mergeCell ref="C76:D76"/>
    <mergeCell ref="C77:G77"/>
    <mergeCell ref="D78:E78"/>
    <mergeCell ref="A81:A84"/>
    <mergeCell ref="B81:D81"/>
    <mergeCell ref="B82:D82"/>
    <mergeCell ref="B83:D83"/>
    <mergeCell ref="B84:D84"/>
    <mergeCell ref="C103:D103"/>
    <mergeCell ref="E103:F103"/>
    <mergeCell ref="B88:G88"/>
    <mergeCell ref="C90:D90"/>
    <mergeCell ref="E90:F90"/>
    <mergeCell ref="C91:G91"/>
    <mergeCell ref="E93:F93"/>
    <mergeCell ref="A94:C95"/>
    <mergeCell ref="E94:F94"/>
    <mergeCell ref="E95:G96"/>
    <mergeCell ref="B97:C97"/>
    <mergeCell ref="F97:G97"/>
    <mergeCell ref="A99:G99"/>
    <mergeCell ref="C100:D100"/>
    <mergeCell ref="B101:G101"/>
    <mergeCell ref="C104:G104"/>
    <mergeCell ref="B105:F105"/>
    <mergeCell ref="A110:G110"/>
    <mergeCell ref="C111:D111"/>
    <mergeCell ref="F111:F112"/>
    <mergeCell ref="C112:D112"/>
    <mergeCell ref="C123:D123"/>
    <mergeCell ref="F123:F124"/>
    <mergeCell ref="C124:D124"/>
    <mergeCell ref="B125:G125"/>
    <mergeCell ref="B113:G113"/>
    <mergeCell ref="C115:D115"/>
    <mergeCell ref="E115:F115"/>
    <mergeCell ref="C116:G116"/>
    <mergeCell ref="B117:F117"/>
    <mergeCell ref="A122:G122"/>
  </mergeCells>
  <conditionalFormatting sqref="E68:F68">
    <cfRule type="expression" dxfId="110" priority="36">
      <formula>$F$67=2</formula>
    </cfRule>
  </conditionalFormatting>
  <conditionalFormatting sqref="E90:F90">
    <cfRule type="expression" dxfId="109" priority="35">
      <formula>$F$89=2</formula>
    </cfRule>
  </conditionalFormatting>
  <conditionalFormatting sqref="E103:F103">
    <cfRule type="expression" dxfId="108" priority="34">
      <formula>$F$102=2</formula>
    </cfRule>
  </conditionalFormatting>
  <conditionalFormatting sqref="E115:F115">
    <cfRule type="expression" dxfId="107" priority="33">
      <formula>$F$114=2</formula>
    </cfRule>
  </conditionalFormatting>
  <conditionalFormatting sqref="B105:F105 D108">
    <cfRule type="expression" dxfId="106" priority="32">
      <formula>$F$102=1</formula>
    </cfRule>
  </conditionalFormatting>
  <conditionalFormatting sqref="D106">
    <cfRule type="expression" dxfId="105" priority="31">
      <formula>$F$102=1</formula>
    </cfRule>
  </conditionalFormatting>
  <conditionalFormatting sqref="B117:F117 D120">
    <cfRule type="expression" dxfId="104" priority="30">
      <formula>$F$114=1</formula>
    </cfRule>
  </conditionalFormatting>
  <conditionalFormatting sqref="B82:D82 B83:B84 E82:E84">
    <cfRule type="expression" dxfId="103" priority="37">
      <formula>$F$79&gt;0</formula>
    </cfRule>
  </conditionalFormatting>
  <conditionalFormatting sqref="E97">
    <cfRule type="expression" dxfId="102" priority="29">
      <formula>$G$94=TRUE</formula>
    </cfRule>
  </conditionalFormatting>
  <conditionalFormatting sqref="D119">
    <cfRule type="expression" dxfId="101" priority="28">
      <formula>$F$114=1</formula>
    </cfRule>
  </conditionalFormatting>
  <conditionalFormatting sqref="D118">
    <cfRule type="expression" dxfId="100" priority="27">
      <formula>$F$114=1</formula>
    </cfRule>
  </conditionalFormatting>
  <conditionalFormatting sqref="D107">
    <cfRule type="expression" dxfId="99" priority="26">
      <formula>$F$102=1</formula>
    </cfRule>
  </conditionalFormatting>
  <conditionalFormatting sqref="C64">
    <cfRule type="expression" dxfId="98" priority="25">
      <formula>$C$64="n/a"</formula>
    </cfRule>
  </conditionalFormatting>
  <conditionalFormatting sqref="B82:E84">
    <cfRule type="expression" dxfId="97" priority="24">
      <formula>$F$79="N/A"</formula>
    </cfRule>
  </conditionalFormatting>
  <conditionalFormatting sqref="C61">
    <cfRule type="expression" dxfId="96" priority="21">
      <formula>C61="n/a"</formula>
    </cfRule>
    <cfRule type="expression" dxfId="95" priority="22">
      <formula>C61="No"</formula>
    </cfRule>
    <cfRule type="expression" dxfId="94" priority="23">
      <formula>C61="Yes"</formula>
    </cfRule>
  </conditionalFormatting>
  <conditionalFormatting sqref="B61">
    <cfRule type="expression" dxfId="93" priority="18">
      <formula>B61="n/a"</formula>
    </cfRule>
    <cfRule type="expression" dxfId="92" priority="19">
      <formula>B61="No"</formula>
    </cfRule>
    <cfRule type="expression" dxfId="91" priority="20">
      <formula>B61="Yes"</formula>
    </cfRule>
  </conditionalFormatting>
  <conditionalFormatting sqref="D61:F61">
    <cfRule type="expression" dxfId="90" priority="15">
      <formula>D61="n/a"</formula>
    </cfRule>
    <cfRule type="expression" dxfId="89" priority="16">
      <formula>D61="No"</formula>
    </cfRule>
    <cfRule type="expression" dxfId="88" priority="17">
      <formula>D61="Yes"</formula>
    </cfRule>
  </conditionalFormatting>
  <conditionalFormatting sqref="B70">
    <cfRule type="expression" dxfId="87" priority="12">
      <formula>B70="n/a"</formula>
    </cfRule>
    <cfRule type="expression" dxfId="86" priority="13">
      <formula>B70="No"</formula>
    </cfRule>
    <cfRule type="expression" dxfId="85" priority="14">
      <formula>B70="Yes"</formula>
    </cfRule>
  </conditionalFormatting>
  <conditionalFormatting sqref="B91">
    <cfRule type="expression" dxfId="84" priority="9">
      <formula>B91="n/a"</formula>
    </cfRule>
    <cfRule type="expression" dxfId="83" priority="10">
      <formula>B91="No"</formula>
    </cfRule>
    <cfRule type="expression" dxfId="82" priority="11">
      <formula>B91="Yes"</formula>
    </cfRule>
  </conditionalFormatting>
  <conditionalFormatting sqref="B104">
    <cfRule type="expression" dxfId="81" priority="6">
      <formula>B104="n/a"</formula>
    </cfRule>
    <cfRule type="expression" dxfId="80" priority="7">
      <formula>B104="No"</formula>
    </cfRule>
    <cfRule type="expression" dxfId="79" priority="8">
      <formula>B104="Yes"</formula>
    </cfRule>
  </conditionalFormatting>
  <conditionalFormatting sqref="B116">
    <cfRule type="expression" dxfId="78" priority="3">
      <formula>B116="n/a"</formula>
    </cfRule>
    <cfRule type="expression" dxfId="77" priority="4">
      <formula>B116="No"</formula>
    </cfRule>
    <cfRule type="expression" dxfId="76" priority="5">
      <formula>B116="Yes"</formula>
    </cfRule>
  </conditionalFormatting>
  <conditionalFormatting sqref="F75">
    <cfRule type="expression" dxfId="75" priority="2">
      <formula>$E$75&gt;=5%</formula>
    </cfRule>
  </conditionalFormatting>
  <conditionalFormatting sqref="F76">
    <cfRule type="expression" dxfId="74" priority="1">
      <formula>$E$76&gt;0</formula>
    </cfRule>
  </conditionalFormatting>
  <dataValidations count="2">
    <dataValidation type="decimal" allowBlank="1" showInputMessage="1" showErrorMessage="1" errorTitle="Invalid Latitude!" error="You've entered a latitude that is not in Vermont." sqref="D5:F5" xr:uid="{B040E1C1-8307-4F29-8F53-DC2AB36CF4D3}">
      <formula1>42.72</formula1>
      <formula2>45.02</formula2>
    </dataValidation>
    <dataValidation type="decimal" allowBlank="1" showInputMessage="1" showErrorMessage="1" errorTitle="Invalid Longitude" error="You've entered a longitude outside of Vermont.  Longitude values in VT should always be negative." sqref="D6:F6" xr:uid="{C8A1ADCA-0F42-4962-83C8-E99CE77BDE8E}">
      <formula1>-73.732</formula1>
      <formula2>-71.46</formula2>
    </dataValidation>
  </dataValidations>
  <hyperlinks>
    <hyperlink ref="E8" r:id="rId1" xr:uid="{CF7039F2-11DA-4292-8BC0-EF1CB315E879}"/>
  </hyperlinks>
  <pageMargins left="0.5" right="0.5" top="0.75" bottom="0.75" header="0.3" footer="0.3"/>
  <pageSetup orientation="portrait" r:id="rId2"/>
  <headerFooter>
    <oddHeader>&amp;C&amp;"-,Bold"&amp;14Vermont Operational Stormwater Permit - Standards Compliance Workbook</oddHeader>
    <oddFooter>&amp;LLast Updated 11/20/2017
&amp;R&amp;A: 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36193" r:id="rId5" name="Group Box 1">
              <controlPr defaultSize="0" autoFill="0" autoPict="0">
                <anchor moveWithCells="1">
                  <from>
                    <xdr:col>1</xdr:col>
                    <xdr:colOff>0</xdr:colOff>
                    <xdr:row>66</xdr:row>
                    <xdr:rowOff>198120</xdr:rowOff>
                  </from>
                  <to>
                    <xdr:col>2</xdr:col>
                    <xdr:colOff>0</xdr:colOff>
                    <xdr:row>68</xdr:row>
                    <xdr:rowOff>0</xdr:rowOff>
                  </to>
                </anchor>
              </controlPr>
            </control>
          </mc:Choice>
        </mc:AlternateContent>
        <mc:AlternateContent xmlns:mc="http://schemas.openxmlformats.org/markup-compatibility/2006">
          <mc:Choice Requires="x14">
            <control shapeId="136194" r:id="rId6" name="Option Button 2">
              <controlPr locked="0" defaultSize="0" autoFill="0" autoLine="0" autoPict="0">
                <anchor moveWithCells="1">
                  <from>
                    <xdr:col>1</xdr:col>
                    <xdr:colOff>45720</xdr:colOff>
                    <xdr:row>67</xdr:row>
                    <xdr:rowOff>15240</xdr:rowOff>
                  </from>
                  <to>
                    <xdr:col>1</xdr:col>
                    <xdr:colOff>457200</xdr:colOff>
                    <xdr:row>68</xdr:row>
                    <xdr:rowOff>0</xdr:rowOff>
                  </to>
                </anchor>
              </controlPr>
            </control>
          </mc:Choice>
        </mc:AlternateContent>
        <mc:AlternateContent xmlns:mc="http://schemas.openxmlformats.org/markup-compatibility/2006">
          <mc:Choice Requires="x14">
            <control shapeId="136195" r:id="rId7" name="Option Button 3">
              <controlPr locked="0" defaultSize="0" autoFill="0" autoLine="0" autoPict="0">
                <anchor moveWithCells="1">
                  <from>
                    <xdr:col>1</xdr:col>
                    <xdr:colOff>449580</xdr:colOff>
                    <xdr:row>67</xdr:row>
                    <xdr:rowOff>15240</xdr:rowOff>
                  </from>
                  <to>
                    <xdr:col>1</xdr:col>
                    <xdr:colOff>807720</xdr:colOff>
                    <xdr:row>68</xdr:row>
                    <xdr:rowOff>0</xdr:rowOff>
                  </to>
                </anchor>
              </controlPr>
            </control>
          </mc:Choice>
        </mc:AlternateContent>
        <mc:AlternateContent xmlns:mc="http://schemas.openxmlformats.org/markup-compatibility/2006">
          <mc:Choice Requires="x14">
            <control shapeId="136196" r:id="rId8" name="Group Box 4">
              <controlPr defaultSize="0" autoFill="0" autoPict="0">
                <anchor moveWithCells="1">
                  <from>
                    <xdr:col>1</xdr:col>
                    <xdr:colOff>0</xdr:colOff>
                    <xdr:row>89</xdr:row>
                    <xdr:rowOff>7620</xdr:rowOff>
                  </from>
                  <to>
                    <xdr:col>2</xdr:col>
                    <xdr:colOff>0</xdr:colOff>
                    <xdr:row>90</xdr:row>
                    <xdr:rowOff>0</xdr:rowOff>
                  </to>
                </anchor>
              </controlPr>
            </control>
          </mc:Choice>
        </mc:AlternateContent>
        <mc:AlternateContent xmlns:mc="http://schemas.openxmlformats.org/markup-compatibility/2006">
          <mc:Choice Requires="x14">
            <control shapeId="136197" r:id="rId9" name="Option Button 5">
              <controlPr locked="0" defaultSize="0" autoFill="0" autoLine="0" autoPict="0">
                <anchor moveWithCells="1">
                  <from>
                    <xdr:col>1</xdr:col>
                    <xdr:colOff>22860</xdr:colOff>
                    <xdr:row>89</xdr:row>
                    <xdr:rowOff>53340</xdr:rowOff>
                  </from>
                  <to>
                    <xdr:col>1</xdr:col>
                    <xdr:colOff>449580</xdr:colOff>
                    <xdr:row>90</xdr:row>
                    <xdr:rowOff>0</xdr:rowOff>
                  </to>
                </anchor>
              </controlPr>
            </control>
          </mc:Choice>
        </mc:AlternateContent>
        <mc:AlternateContent xmlns:mc="http://schemas.openxmlformats.org/markup-compatibility/2006">
          <mc:Choice Requires="x14">
            <control shapeId="136198" r:id="rId10" name="Option Button 6">
              <controlPr locked="0" defaultSize="0" autoFill="0" autoLine="0" autoPict="0">
                <anchor moveWithCells="1">
                  <from>
                    <xdr:col>1</xdr:col>
                    <xdr:colOff>411480</xdr:colOff>
                    <xdr:row>89</xdr:row>
                    <xdr:rowOff>53340</xdr:rowOff>
                  </from>
                  <to>
                    <xdr:col>1</xdr:col>
                    <xdr:colOff>769620</xdr:colOff>
                    <xdr:row>90</xdr:row>
                    <xdr:rowOff>0</xdr:rowOff>
                  </to>
                </anchor>
              </controlPr>
            </control>
          </mc:Choice>
        </mc:AlternateContent>
        <mc:AlternateContent xmlns:mc="http://schemas.openxmlformats.org/markup-compatibility/2006">
          <mc:Choice Requires="x14">
            <control shapeId="136199" r:id="rId11" name="Group Box 7">
              <controlPr defaultSize="0" autoFill="0" autoPict="0">
                <anchor moveWithCells="1">
                  <from>
                    <xdr:col>1</xdr:col>
                    <xdr:colOff>0</xdr:colOff>
                    <xdr:row>92</xdr:row>
                    <xdr:rowOff>0</xdr:rowOff>
                  </from>
                  <to>
                    <xdr:col>2</xdr:col>
                    <xdr:colOff>0</xdr:colOff>
                    <xdr:row>93</xdr:row>
                    <xdr:rowOff>0</xdr:rowOff>
                  </to>
                </anchor>
              </controlPr>
            </control>
          </mc:Choice>
        </mc:AlternateContent>
        <mc:AlternateContent xmlns:mc="http://schemas.openxmlformats.org/markup-compatibility/2006">
          <mc:Choice Requires="x14">
            <control shapeId="136200" r:id="rId12" name="Option Button 8">
              <controlPr locked="0" defaultSize="0" autoFill="0" autoLine="0" autoPict="0">
                <anchor moveWithCells="1">
                  <from>
                    <xdr:col>1</xdr:col>
                    <xdr:colOff>45720</xdr:colOff>
                    <xdr:row>92</xdr:row>
                    <xdr:rowOff>30480</xdr:rowOff>
                  </from>
                  <to>
                    <xdr:col>1</xdr:col>
                    <xdr:colOff>579120</xdr:colOff>
                    <xdr:row>92</xdr:row>
                    <xdr:rowOff>297180</xdr:rowOff>
                  </to>
                </anchor>
              </controlPr>
            </control>
          </mc:Choice>
        </mc:AlternateContent>
        <mc:AlternateContent xmlns:mc="http://schemas.openxmlformats.org/markup-compatibility/2006">
          <mc:Choice Requires="x14">
            <control shapeId="136201" r:id="rId13" name="Option Button 9">
              <controlPr locked="0" defaultSize="0" autoFill="0" autoLine="0" autoPict="0">
                <anchor moveWithCells="1">
                  <from>
                    <xdr:col>1</xdr:col>
                    <xdr:colOff>45720</xdr:colOff>
                    <xdr:row>92</xdr:row>
                    <xdr:rowOff>190500</xdr:rowOff>
                  </from>
                  <to>
                    <xdr:col>1</xdr:col>
                    <xdr:colOff>670560</xdr:colOff>
                    <xdr:row>93</xdr:row>
                    <xdr:rowOff>0</xdr:rowOff>
                  </to>
                </anchor>
              </controlPr>
            </control>
          </mc:Choice>
        </mc:AlternateContent>
        <mc:AlternateContent xmlns:mc="http://schemas.openxmlformats.org/markup-compatibility/2006">
          <mc:Choice Requires="x14">
            <control shapeId="136202" r:id="rId14" name="Group Box 10">
              <controlPr defaultSize="0" autoFill="0" autoPict="0">
                <anchor moveWithCells="1">
                  <from>
                    <xdr:col>1</xdr:col>
                    <xdr:colOff>0</xdr:colOff>
                    <xdr:row>102</xdr:row>
                    <xdr:rowOff>7620</xdr:rowOff>
                  </from>
                  <to>
                    <xdr:col>2</xdr:col>
                    <xdr:colOff>0</xdr:colOff>
                    <xdr:row>103</xdr:row>
                    <xdr:rowOff>0</xdr:rowOff>
                  </to>
                </anchor>
              </controlPr>
            </control>
          </mc:Choice>
        </mc:AlternateContent>
        <mc:AlternateContent xmlns:mc="http://schemas.openxmlformats.org/markup-compatibility/2006">
          <mc:Choice Requires="x14">
            <control shapeId="136203" r:id="rId15" name="Option Button 11">
              <controlPr locked="0" defaultSize="0" autoFill="0" autoLine="0" autoPict="0">
                <anchor moveWithCells="1">
                  <from>
                    <xdr:col>1</xdr:col>
                    <xdr:colOff>22860</xdr:colOff>
                    <xdr:row>102</xdr:row>
                    <xdr:rowOff>53340</xdr:rowOff>
                  </from>
                  <to>
                    <xdr:col>1</xdr:col>
                    <xdr:colOff>457200</xdr:colOff>
                    <xdr:row>103</xdr:row>
                    <xdr:rowOff>0</xdr:rowOff>
                  </to>
                </anchor>
              </controlPr>
            </control>
          </mc:Choice>
        </mc:AlternateContent>
        <mc:AlternateContent xmlns:mc="http://schemas.openxmlformats.org/markup-compatibility/2006">
          <mc:Choice Requires="x14">
            <control shapeId="136204" r:id="rId16" name="Option Button 12">
              <controlPr locked="0" defaultSize="0" autoFill="0" autoLine="0" autoPict="0">
                <anchor moveWithCells="1">
                  <from>
                    <xdr:col>1</xdr:col>
                    <xdr:colOff>396240</xdr:colOff>
                    <xdr:row>102</xdr:row>
                    <xdr:rowOff>45720</xdr:rowOff>
                  </from>
                  <to>
                    <xdr:col>1</xdr:col>
                    <xdr:colOff>762000</xdr:colOff>
                    <xdr:row>103</xdr:row>
                    <xdr:rowOff>0</xdr:rowOff>
                  </to>
                </anchor>
              </controlPr>
            </control>
          </mc:Choice>
        </mc:AlternateContent>
        <mc:AlternateContent xmlns:mc="http://schemas.openxmlformats.org/markup-compatibility/2006">
          <mc:Choice Requires="x14">
            <control shapeId="136205" r:id="rId17" name="Group Box 13">
              <controlPr defaultSize="0" autoFill="0" autoPict="0">
                <anchor moveWithCells="1">
                  <from>
                    <xdr:col>1</xdr:col>
                    <xdr:colOff>0</xdr:colOff>
                    <xdr:row>114</xdr:row>
                    <xdr:rowOff>0</xdr:rowOff>
                  </from>
                  <to>
                    <xdr:col>2</xdr:col>
                    <xdr:colOff>0</xdr:colOff>
                    <xdr:row>115</xdr:row>
                    <xdr:rowOff>0</xdr:rowOff>
                  </to>
                </anchor>
              </controlPr>
            </control>
          </mc:Choice>
        </mc:AlternateContent>
        <mc:AlternateContent xmlns:mc="http://schemas.openxmlformats.org/markup-compatibility/2006">
          <mc:Choice Requires="x14">
            <control shapeId="136206" r:id="rId18" name="Option Button 14">
              <controlPr locked="0" defaultSize="0" autoFill="0" autoLine="0" autoPict="0">
                <anchor moveWithCells="1">
                  <from>
                    <xdr:col>1</xdr:col>
                    <xdr:colOff>45720</xdr:colOff>
                    <xdr:row>114</xdr:row>
                    <xdr:rowOff>60960</xdr:rowOff>
                  </from>
                  <to>
                    <xdr:col>1</xdr:col>
                    <xdr:colOff>426720</xdr:colOff>
                    <xdr:row>115</xdr:row>
                    <xdr:rowOff>0</xdr:rowOff>
                  </to>
                </anchor>
              </controlPr>
            </control>
          </mc:Choice>
        </mc:AlternateContent>
        <mc:AlternateContent xmlns:mc="http://schemas.openxmlformats.org/markup-compatibility/2006">
          <mc:Choice Requires="x14">
            <control shapeId="136207" r:id="rId19" name="Option Button 15">
              <controlPr locked="0" defaultSize="0" autoFill="0" autoLine="0" autoPict="0">
                <anchor moveWithCells="1">
                  <from>
                    <xdr:col>1</xdr:col>
                    <xdr:colOff>419100</xdr:colOff>
                    <xdr:row>114</xdr:row>
                    <xdr:rowOff>45720</xdr:rowOff>
                  </from>
                  <to>
                    <xdr:col>1</xdr:col>
                    <xdr:colOff>800100</xdr:colOff>
                    <xdr:row>115</xdr:row>
                    <xdr:rowOff>0</xdr:rowOff>
                  </to>
                </anchor>
              </controlPr>
            </control>
          </mc:Choice>
        </mc:AlternateContent>
        <mc:AlternateContent xmlns:mc="http://schemas.openxmlformats.org/markup-compatibility/2006">
          <mc:Choice Requires="x14">
            <control shapeId="136208" r:id="rId20" name="Check Box 16">
              <controlPr locked="0" defaultSize="0" autoFill="0" autoLine="0" autoPict="0">
                <anchor moveWithCells="1">
                  <from>
                    <xdr:col>3</xdr:col>
                    <xdr:colOff>678180</xdr:colOff>
                    <xdr:row>93</xdr:row>
                    <xdr:rowOff>182880</xdr:rowOff>
                  </from>
                  <to>
                    <xdr:col>3</xdr:col>
                    <xdr:colOff>861060</xdr:colOff>
                    <xdr:row>95</xdr:row>
                    <xdr:rowOff>7620</xdr:rowOff>
                  </to>
                </anchor>
              </controlPr>
            </control>
          </mc:Choice>
        </mc:AlternateContent>
        <mc:AlternateContent xmlns:mc="http://schemas.openxmlformats.org/markup-compatibility/2006">
          <mc:Choice Requires="x14">
            <control shapeId="136209" r:id="rId21" name="Group Box 17">
              <controlPr defaultSize="0" autoFill="0" autoPict="0">
                <anchor moveWithCells="1">
                  <from>
                    <xdr:col>5</xdr:col>
                    <xdr:colOff>0</xdr:colOff>
                    <xdr:row>77</xdr:row>
                    <xdr:rowOff>0</xdr:rowOff>
                  </from>
                  <to>
                    <xdr:col>6</xdr:col>
                    <xdr:colOff>0</xdr:colOff>
                    <xdr:row>78</xdr:row>
                    <xdr:rowOff>0</xdr:rowOff>
                  </to>
                </anchor>
              </controlPr>
            </control>
          </mc:Choice>
        </mc:AlternateContent>
        <mc:AlternateContent xmlns:mc="http://schemas.openxmlformats.org/markup-compatibility/2006">
          <mc:Choice Requires="x14">
            <control shapeId="136210" r:id="rId22" name="Option Button 18">
              <controlPr locked="0" defaultSize="0" autoFill="0" autoLine="0" autoPict="0">
                <anchor moveWithCells="1">
                  <from>
                    <xdr:col>5</xdr:col>
                    <xdr:colOff>30480</xdr:colOff>
                    <xdr:row>77</xdr:row>
                    <xdr:rowOff>38100</xdr:rowOff>
                  </from>
                  <to>
                    <xdr:col>5</xdr:col>
                    <xdr:colOff>403860</xdr:colOff>
                    <xdr:row>77</xdr:row>
                    <xdr:rowOff>213360</xdr:rowOff>
                  </to>
                </anchor>
              </controlPr>
            </control>
          </mc:Choice>
        </mc:AlternateContent>
        <mc:AlternateContent xmlns:mc="http://schemas.openxmlformats.org/markup-compatibility/2006">
          <mc:Choice Requires="x14">
            <control shapeId="136211" r:id="rId23" name="Option Button 19">
              <controlPr locked="0" defaultSize="0" autoFill="0" autoLine="0" autoPict="0">
                <anchor moveWithCells="1">
                  <from>
                    <xdr:col>5</xdr:col>
                    <xdr:colOff>30480</xdr:colOff>
                    <xdr:row>77</xdr:row>
                    <xdr:rowOff>182880</xdr:rowOff>
                  </from>
                  <to>
                    <xdr:col>5</xdr:col>
                    <xdr:colOff>845820</xdr:colOff>
                    <xdr:row>78</xdr:row>
                    <xdr:rowOff>0</xdr:rowOff>
                  </to>
                </anchor>
              </controlPr>
            </control>
          </mc:Choice>
        </mc:AlternateContent>
        <mc:AlternateContent xmlns:mc="http://schemas.openxmlformats.org/markup-compatibility/2006">
          <mc:Choice Requires="x14">
            <control shapeId="136212" r:id="rId24" name="Group Box 20">
              <controlPr defaultSize="0" autoFill="0" autoPict="0">
                <anchor moveWithCells="1">
                  <from>
                    <xdr:col>5</xdr:col>
                    <xdr:colOff>0</xdr:colOff>
                    <xdr:row>74</xdr:row>
                    <xdr:rowOff>7620</xdr:rowOff>
                  </from>
                  <to>
                    <xdr:col>6</xdr:col>
                    <xdr:colOff>0</xdr:colOff>
                    <xdr:row>75</xdr:row>
                    <xdr:rowOff>0</xdr:rowOff>
                  </to>
                </anchor>
              </controlPr>
            </control>
          </mc:Choice>
        </mc:AlternateContent>
        <mc:AlternateContent xmlns:mc="http://schemas.openxmlformats.org/markup-compatibility/2006">
          <mc:Choice Requires="x14">
            <control shapeId="136213" r:id="rId25" name="Group Box 21">
              <controlPr defaultSize="0" autoFill="0" autoPict="0">
                <anchor moveWithCells="1">
                  <from>
                    <xdr:col>5</xdr:col>
                    <xdr:colOff>0</xdr:colOff>
                    <xdr:row>74</xdr:row>
                    <xdr:rowOff>205740</xdr:rowOff>
                  </from>
                  <to>
                    <xdr:col>6</xdr:col>
                    <xdr:colOff>0</xdr:colOff>
                    <xdr:row>76</xdr:row>
                    <xdr:rowOff>0</xdr:rowOff>
                  </to>
                </anchor>
              </controlPr>
            </control>
          </mc:Choice>
        </mc:AlternateContent>
        <mc:AlternateContent xmlns:mc="http://schemas.openxmlformats.org/markup-compatibility/2006">
          <mc:Choice Requires="x14">
            <control shapeId="136214" r:id="rId26" name="Option Button 22">
              <controlPr defaultSize="0" autoFill="0" autoLine="0" autoPict="0">
                <anchor moveWithCells="1">
                  <from>
                    <xdr:col>5</xdr:col>
                    <xdr:colOff>22860</xdr:colOff>
                    <xdr:row>75</xdr:row>
                    <xdr:rowOff>68580</xdr:rowOff>
                  </from>
                  <to>
                    <xdr:col>5</xdr:col>
                    <xdr:colOff>381000</xdr:colOff>
                    <xdr:row>76</xdr:row>
                    <xdr:rowOff>0</xdr:rowOff>
                  </to>
                </anchor>
              </controlPr>
            </control>
          </mc:Choice>
        </mc:AlternateContent>
        <mc:AlternateContent xmlns:mc="http://schemas.openxmlformats.org/markup-compatibility/2006">
          <mc:Choice Requires="x14">
            <control shapeId="136215" r:id="rId27" name="Option Button 23">
              <controlPr defaultSize="0" autoFill="0" autoLine="0" autoPict="0">
                <anchor moveWithCells="1">
                  <from>
                    <xdr:col>5</xdr:col>
                    <xdr:colOff>381000</xdr:colOff>
                    <xdr:row>75</xdr:row>
                    <xdr:rowOff>68580</xdr:rowOff>
                  </from>
                  <to>
                    <xdr:col>5</xdr:col>
                    <xdr:colOff>792480</xdr:colOff>
                    <xdr:row>76</xdr:row>
                    <xdr:rowOff>0</xdr:rowOff>
                  </to>
                </anchor>
              </controlPr>
            </control>
          </mc:Choice>
        </mc:AlternateContent>
        <mc:AlternateContent xmlns:mc="http://schemas.openxmlformats.org/markup-compatibility/2006">
          <mc:Choice Requires="x14">
            <control shapeId="136216" r:id="rId28" name="Option Button 24">
              <controlPr defaultSize="0" autoFill="0" autoLine="0" autoPict="0">
                <anchor moveWithCells="1">
                  <from>
                    <xdr:col>5</xdr:col>
                    <xdr:colOff>15240</xdr:colOff>
                    <xdr:row>74</xdr:row>
                    <xdr:rowOff>15240</xdr:rowOff>
                  </from>
                  <to>
                    <xdr:col>5</xdr:col>
                    <xdr:colOff>350520</xdr:colOff>
                    <xdr:row>75</xdr:row>
                    <xdr:rowOff>0</xdr:rowOff>
                  </to>
                </anchor>
              </controlPr>
            </control>
          </mc:Choice>
        </mc:AlternateContent>
        <mc:AlternateContent xmlns:mc="http://schemas.openxmlformats.org/markup-compatibility/2006">
          <mc:Choice Requires="x14">
            <control shapeId="136217" r:id="rId29" name="Option Button 25">
              <controlPr defaultSize="0" autoFill="0" autoLine="0" autoPict="0">
                <anchor moveWithCells="1">
                  <from>
                    <xdr:col>5</xdr:col>
                    <xdr:colOff>381000</xdr:colOff>
                    <xdr:row>74</xdr:row>
                    <xdr:rowOff>15240</xdr:rowOff>
                  </from>
                  <to>
                    <xdr:col>5</xdr:col>
                    <xdr:colOff>777240</xdr:colOff>
                    <xdr:row>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1DC313B5-812B-41BC-862A-90AF3E87F9F2}">
          <x14:formula1>
            <xm:f>Lookup!$G$11:$G$23</xm:f>
          </x14:formula1>
          <xm:sqref>A50:A54 C50:D54</xm:sqref>
        </x14:dataValidation>
        <x14:dataValidation type="list" allowBlank="1" showInputMessage="1" showErrorMessage="1" xr:uid="{626E6B36-9C3E-489A-ACE7-2D30842DF344}">
          <x14:formula1>
            <xm:f>Lookup!$G$12:$G$23</xm:f>
          </x14:formula1>
          <xm:sqref>A55</xm:sqref>
        </x14:dataValidation>
        <x14:dataValidation type="list" allowBlank="1" showInputMessage="1" showErrorMessage="1" xr:uid="{8970D240-E262-4625-B84E-40F53CEFCA1B}">
          <x14:formula1>
            <xm:f>Lookup!$H$13:$H$19</xm:f>
          </x14:formula1>
          <xm:sqref>C82:D82 B82:B84</xm:sqref>
        </x14:dataValidation>
        <x14:dataValidation type="list" allowBlank="1" showInputMessage="1" showErrorMessage="1" xr:uid="{9B92D182-0788-45BB-A715-5E04271CC061}">
          <x14:formula1>
            <xm:f>Lookup!$J$4:$J$8</xm:f>
          </x14:formula1>
          <xm:sqref>E115:F115</xm:sqref>
        </x14:dataValidation>
        <x14:dataValidation type="list" allowBlank="1" showInputMessage="1" showErrorMessage="1" xr:uid="{14D8E54A-9F80-4537-AF05-E6DBC6A16365}">
          <x14:formula1>
            <xm:f>Lookup!$I$4:$I$8</xm:f>
          </x14:formula1>
          <xm:sqref>E103:F103</xm:sqref>
        </x14:dataValidation>
        <x14:dataValidation type="list" allowBlank="1" showInputMessage="1" showErrorMessage="1" xr:uid="{F57786EB-D4CA-4422-AC5F-644C109BB3C5}">
          <x14:formula1>
            <xm:f>Lookup!$H$4:$H$7</xm:f>
          </x14:formula1>
          <xm:sqref>E90:F90</xm:sqref>
        </x14:dataValidation>
        <x14:dataValidation type="list" allowBlank="1" showInputMessage="1" showErrorMessage="1" xr:uid="{2E81EACF-E2AF-4227-9BB6-22E9BF44A2B3}">
          <x14:formula1>
            <xm:f>Lookup!$G$3:$G$6</xm:f>
          </x14:formula1>
          <xm:sqref>E68:F68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Instructions</vt:lpstr>
      <vt:lpstr>Summary</vt:lpstr>
      <vt:lpstr>SN1</vt:lpstr>
      <vt:lpstr>SN2</vt:lpstr>
      <vt:lpstr>SN3</vt:lpstr>
      <vt:lpstr>SN4</vt:lpstr>
      <vt:lpstr>SN5</vt:lpstr>
      <vt:lpstr>SN6</vt:lpstr>
      <vt:lpstr>SN7</vt:lpstr>
      <vt:lpstr>SN8</vt:lpstr>
      <vt:lpstr>SN9</vt:lpstr>
      <vt:lpstr>Lookup</vt:lpstr>
      <vt:lpstr>New</vt:lpstr>
    </vt:vector>
  </TitlesOfParts>
  <Company>Agency of Natural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Schelley</dc:creator>
  <cp:lastModifiedBy>Kevin Burke</cp:lastModifiedBy>
  <cp:lastPrinted>2017-11-17T16:19:42Z</cp:lastPrinted>
  <dcterms:created xsi:type="dcterms:W3CDTF">2015-10-07T18:43:40Z</dcterms:created>
  <dcterms:modified xsi:type="dcterms:W3CDTF">2017-11-27T13:55:17Z</dcterms:modified>
</cp:coreProperties>
</file>