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emilys\Desktop\HDR-Example-for-web\Attachment 2 Workbooks\"/>
    </mc:Choice>
  </mc:AlternateContent>
  <bookViews>
    <workbookView xWindow="0" yWindow="0" windowWidth="22896" windowHeight="9048" activeTab="1" xr2:uid="{00000000-000D-0000-FFFF-FFFF00000000}"/>
  </bookViews>
  <sheets>
    <sheet name="Instructions" sheetId="15" r:id="rId1"/>
    <sheet name="Summary" sheetId="6" r:id="rId2"/>
    <sheet name="SN1" sheetId="9" r:id="rId3"/>
    <sheet name="SN2" sheetId="95" r:id="rId4"/>
    <sheet name="SN3" sheetId="96" r:id="rId5"/>
    <sheet name="SN4" sheetId="97" state="hidden" r:id="rId6"/>
    <sheet name="SN5" sheetId="98" state="hidden" r:id="rId7"/>
    <sheet name="SN6" sheetId="99" state="hidden" r:id="rId8"/>
    <sheet name="SN7" sheetId="100" state="hidden" r:id="rId9"/>
    <sheet name="SN8" sheetId="101" state="hidden" r:id="rId10"/>
    <sheet name="SN9" sheetId="102" state="hidden" r:id="rId11"/>
    <sheet name="Lookup" sheetId="2" state="hidden" r:id="rId12"/>
  </sheets>
  <definedNames>
    <definedName name="New">Lookup!$A$25:$A$26</definedName>
  </definedNames>
  <calcPr calcId="171027"/>
  <fileRecoveryPr autoRecover="0"/>
</workbook>
</file>

<file path=xl/calcChain.xml><?xml version="1.0" encoding="utf-8"?>
<calcChain xmlns="http://schemas.openxmlformats.org/spreadsheetml/2006/main">
  <c r="E124" i="102" l="1"/>
  <c r="E123" i="102"/>
  <c r="C115" i="102"/>
  <c r="E112" i="102"/>
  <c r="E111" i="102"/>
  <c r="C103" i="102"/>
  <c r="E100" i="102"/>
  <c r="F97" i="102"/>
  <c r="A94" i="102"/>
  <c r="E93" i="102"/>
  <c r="C90" i="102"/>
  <c r="E85" i="102"/>
  <c r="F84" i="102"/>
  <c r="F83" i="102"/>
  <c r="F82" i="102"/>
  <c r="A81" i="102"/>
  <c r="C77" i="102"/>
  <c r="B76" i="102"/>
  <c r="C68" i="102"/>
  <c r="F59" i="102"/>
  <c r="E59" i="102"/>
  <c r="D59" i="102"/>
  <c r="C59" i="102"/>
  <c r="B59" i="102"/>
  <c r="E45" i="102"/>
  <c r="E58" i="102" s="1"/>
  <c r="E60" i="102" s="1"/>
  <c r="E61" i="102" s="1"/>
  <c r="B104" i="102" s="1"/>
  <c r="C104" i="102" s="1"/>
  <c r="F44" i="102"/>
  <c r="E44" i="102"/>
  <c r="D44" i="102"/>
  <c r="F36" i="102"/>
  <c r="G35" i="102"/>
  <c r="E75" i="102" s="1"/>
  <c r="F31" i="102"/>
  <c r="F34" i="102" s="1"/>
  <c r="F28" i="102"/>
  <c r="F27" i="102"/>
  <c r="D45" i="102" s="1"/>
  <c r="D58" i="102" s="1"/>
  <c r="D60" i="102" s="1"/>
  <c r="F26" i="102"/>
  <c r="F32" i="102" s="1"/>
  <c r="F25" i="102"/>
  <c r="F24" i="102"/>
  <c r="A21" i="102"/>
  <c r="F18" i="102"/>
  <c r="F35" i="102" s="1"/>
  <c r="F17" i="102"/>
  <c r="F16" i="102"/>
  <c r="F15" i="102"/>
  <c r="F20" i="102" s="1"/>
  <c r="D2" i="102"/>
  <c r="E124" i="101"/>
  <c r="E123" i="101"/>
  <c r="C115" i="101"/>
  <c r="E112" i="101"/>
  <c r="E111" i="101"/>
  <c r="C103" i="101"/>
  <c r="E100" i="101"/>
  <c r="F97" i="101"/>
  <c r="A94" i="101"/>
  <c r="E93" i="101"/>
  <c r="C90" i="101"/>
  <c r="E85" i="101"/>
  <c r="F84" i="101"/>
  <c r="F83" i="101"/>
  <c r="F82" i="101"/>
  <c r="A81" i="101"/>
  <c r="C77" i="101"/>
  <c r="B76" i="101"/>
  <c r="C68" i="101"/>
  <c r="F59" i="101"/>
  <c r="E59" i="101"/>
  <c r="D59" i="101"/>
  <c r="C59" i="101"/>
  <c r="B59" i="101"/>
  <c r="D45" i="101"/>
  <c r="D58" i="101" s="1"/>
  <c r="D60" i="101" s="1"/>
  <c r="F44" i="101"/>
  <c r="E44" i="101"/>
  <c r="D44" i="101"/>
  <c r="F31" i="101"/>
  <c r="F34" i="101" s="1"/>
  <c r="F28" i="101"/>
  <c r="E45" i="101" s="1"/>
  <c r="E58" i="101" s="1"/>
  <c r="E60" i="101" s="1"/>
  <c r="E61" i="101" s="1"/>
  <c r="B104" i="101" s="1"/>
  <c r="C104" i="101" s="1"/>
  <c r="F27" i="101"/>
  <c r="B69" i="101" s="1"/>
  <c r="B58" i="101" s="1"/>
  <c r="F26" i="101"/>
  <c r="F25" i="101"/>
  <c r="F32" i="101" s="1"/>
  <c r="F24" i="101"/>
  <c r="F18" i="101"/>
  <c r="G36" i="101" s="1"/>
  <c r="E76" i="101" s="1"/>
  <c r="G76" i="101" s="1"/>
  <c r="F17" i="101"/>
  <c r="F16" i="101"/>
  <c r="F15" i="101"/>
  <c r="F20" i="101" s="1"/>
  <c r="D2" i="101"/>
  <c r="E124" i="100"/>
  <c r="E123" i="100"/>
  <c r="C115" i="100"/>
  <c r="E112" i="100"/>
  <c r="E111" i="100"/>
  <c r="C103" i="100"/>
  <c r="E100" i="100"/>
  <c r="F97" i="100"/>
  <c r="A94" i="100"/>
  <c r="E93" i="100"/>
  <c r="C90" i="100"/>
  <c r="E85" i="100"/>
  <c r="F84" i="100"/>
  <c r="F83" i="100"/>
  <c r="F82" i="100"/>
  <c r="A81" i="100"/>
  <c r="C77" i="100"/>
  <c r="B76" i="100"/>
  <c r="B69" i="100"/>
  <c r="C68" i="100"/>
  <c r="F59" i="100"/>
  <c r="E59" i="100"/>
  <c r="D59" i="100"/>
  <c r="C59" i="100"/>
  <c r="B59" i="100"/>
  <c r="B58" i="100"/>
  <c r="B61" i="100" s="1"/>
  <c r="B70" i="100" s="1"/>
  <c r="C70" i="100" s="1"/>
  <c r="F44" i="100"/>
  <c r="E44" i="100"/>
  <c r="D44" i="100"/>
  <c r="G36" i="100"/>
  <c r="E76" i="100" s="1"/>
  <c r="G76" i="100" s="1"/>
  <c r="F34" i="100"/>
  <c r="F31" i="100"/>
  <c r="F28" i="100"/>
  <c r="E45" i="100" s="1"/>
  <c r="E58" i="100" s="1"/>
  <c r="E60" i="100" s="1"/>
  <c r="E61" i="100" s="1"/>
  <c r="B104" i="100" s="1"/>
  <c r="C104" i="100" s="1"/>
  <c r="F27" i="100"/>
  <c r="B75" i="100" s="1"/>
  <c r="B77" i="100" s="1"/>
  <c r="F26" i="100"/>
  <c r="F25" i="100"/>
  <c r="F24" i="100"/>
  <c r="F32" i="100" s="1"/>
  <c r="F18" i="100"/>
  <c r="F36" i="100" s="1"/>
  <c r="F17" i="100"/>
  <c r="F16" i="100"/>
  <c r="F15" i="100"/>
  <c r="F20" i="100" s="1"/>
  <c r="D2" i="100"/>
  <c r="E124" i="99"/>
  <c r="E123" i="99"/>
  <c r="C115" i="99"/>
  <c r="E112" i="99"/>
  <c r="E111" i="99"/>
  <c r="C103" i="99"/>
  <c r="E100" i="99"/>
  <c r="F97" i="99"/>
  <c r="A94" i="99"/>
  <c r="E93" i="99"/>
  <c r="C90" i="99"/>
  <c r="E85" i="99"/>
  <c r="F84" i="99"/>
  <c r="F83" i="99"/>
  <c r="F82" i="99"/>
  <c r="A81" i="99"/>
  <c r="C77" i="99"/>
  <c r="B76" i="99"/>
  <c r="C68" i="99"/>
  <c r="F59" i="99"/>
  <c r="E59" i="99"/>
  <c r="D59" i="99"/>
  <c r="C59" i="99"/>
  <c r="B59" i="99"/>
  <c r="F44" i="99"/>
  <c r="E44" i="99"/>
  <c r="D44" i="99"/>
  <c r="F31" i="99"/>
  <c r="F34" i="99" s="1"/>
  <c r="F28" i="99"/>
  <c r="E45" i="99" s="1"/>
  <c r="E58" i="99" s="1"/>
  <c r="E60" i="99" s="1"/>
  <c r="E61" i="99" s="1"/>
  <c r="B104" i="99" s="1"/>
  <c r="C104" i="99" s="1"/>
  <c r="F27" i="99"/>
  <c r="B69" i="99" s="1"/>
  <c r="B58" i="99" s="1"/>
  <c r="F26" i="99"/>
  <c r="F25" i="99"/>
  <c r="F32" i="99" s="1"/>
  <c r="F24" i="99"/>
  <c r="F18" i="99"/>
  <c r="G36" i="99" s="1"/>
  <c r="E76" i="99" s="1"/>
  <c r="G76" i="99" s="1"/>
  <c r="F17" i="99"/>
  <c r="F16" i="99"/>
  <c r="F15" i="99"/>
  <c r="F20" i="99" s="1"/>
  <c r="D2" i="99"/>
  <c r="E124" i="98"/>
  <c r="E123" i="98"/>
  <c r="C115" i="98"/>
  <c r="E112" i="98"/>
  <c r="E111" i="98"/>
  <c r="C103" i="98"/>
  <c r="E100" i="98"/>
  <c r="F97" i="98"/>
  <c r="A94" i="98"/>
  <c r="E93" i="98"/>
  <c r="C90" i="98"/>
  <c r="E85" i="98"/>
  <c r="F84" i="98"/>
  <c r="F83" i="98"/>
  <c r="F82" i="98"/>
  <c r="A81" i="98"/>
  <c r="C77" i="98"/>
  <c r="B76" i="98"/>
  <c r="C68" i="98"/>
  <c r="F59" i="98"/>
  <c r="E59" i="98"/>
  <c r="D59" i="98"/>
  <c r="C59" i="98"/>
  <c r="B59" i="98"/>
  <c r="E45" i="98"/>
  <c r="E58" i="98" s="1"/>
  <c r="E60" i="98" s="1"/>
  <c r="E61" i="98" s="1"/>
  <c r="B104" i="98" s="1"/>
  <c r="C104" i="98" s="1"/>
  <c r="F44" i="98"/>
  <c r="E44" i="98"/>
  <c r="D44" i="98"/>
  <c r="F36" i="98"/>
  <c r="G35" i="98"/>
  <c r="E75" i="98" s="1"/>
  <c r="F31" i="98"/>
  <c r="F34" i="98" s="1"/>
  <c r="F28" i="98"/>
  <c r="F27" i="98"/>
  <c r="D45" i="98" s="1"/>
  <c r="D58" i="98" s="1"/>
  <c r="D60" i="98" s="1"/>
  <c r="F26" i="98"/>
  <c r="F32" i="98" s="1"/>
  <c r="F25" i="98"/>
  <c r="F24" i="98"/>
  <c r="A21" i="98"/>
  <c r="F18" i="98"/>
  <c r="F35" i="98" s="1"/>
  <c r="F17" i="98"/>
  <c r="F16" i="98"/>
  <c r="F15" i="98"/>
  <c r="F20" i="98" s="1"/>
  <c r="D2" i="98"/>
  <c r="E124" i="97"/>
  <c r="E123" i="97"/>
  <c r="C115" i="97"/>
  <c r="E112" i="97"/>
  <c r="E111" i="97"/>
  <c r="C103" i="97"/>
  <c r="E100" i="97"/>
  <c r="F97" i="97"/>
  <c r="A94" i="97"/>
  <c r="E93" i="97"/>
  <c r="C90" i="97"/>
  <c r="E85" i="97"/>
  <c r="F84" i="97"/>
  <c r="F83" i="97"/>
  <c r="F82" i="97"/>
  <c r="A81" i="97"/>
  <c r="C77" i="97"/>
  <c r="B76" i="97"/>
  <c r="C68" i="97"/>
  <c r="F59" i="97"/>
  <c r="E59" i="97"/>
  <c r="D59" i="97"/>
  <c r="C59" i="97"/>
  <c r="B59" i="97"/>
  <c r="F44" i="97"/>
  <c r="E44" i="97"/>
  <c r="D44" i="97"/>
  <c r="F36" i="97"/>
  <c r="G35" i="97"/>
  <c r="E75" i="97" s="1"/>
  <c r="F31" i="97"/>
  <c r="F34" i="97" s="1"/>
  <c r="F28" i="97"/>
  <c r="F27" i="97"/>
  <c r="D45" i="97" s="1"/>
  <c r="D58" i="97" s="1"/>
  <c r="D60" i="97" s="1"/>
  <c r="F26" i="97"/>
  <c r="F25" i="97"/>
  <c r="F24" i="97"/>
  <c r="A21" i="97"/>
  <c r="F18" i="97"/>
  <c r="F35" i="97" s="1"/>
  <c r="F17" i="97"/>
  <c r="F16" i="97"/>
  <c r="F15" i="97"/>
  <c r="F20" i="97" s="1"/>
  <c r="D2" i="97"/>
  <c r="E123" i="96"/>
  <c r="C115" i="96"/>
  <c r="E111" i="96"/>
  <c r="C103" i="96"/>
  <c r="F97" i="96"/>
  <c r="A94" i="96"/>
  <c r="E93" i="96"/>
  <c r="C90" i="96"/>
  <c r="E85" i="96"/>
  <c r="F84" i="96"/>
  <c r="F83" i="96"/>
  <c r="F82" i="96"/>
  <c r="A81" i="96"/>
  <c r="C77" i="96"/>
  <c r="B76" i="96"/>
  <c r="C68" i="96"/>
  <c r="F59" i="96"/>
  <c r="E59" i="96"/>
  <c r="D59" i="96"/>
  <c r="C59" i="96"/>
  <c r="B59" i="96"/>
  <c r="F44" i="96"/>
  <c r="E44" i="96"/>
  <c r="D44" i="96"/>
  <c r="G35" i="96"/>
  <c r="E75" i="96" s="1"/>
  <c r="F31" i="96"/>
  <c r="F28" i="96"/>
  <c r="F27" i="96"/>
  <c r="B69" i="96" s="1"/>
  <c r="B58" i="96" s="1"/>
  <c r="F26" i="96"/>
  <c r="F25" i="96"/>
  <c r="F24" i="96"/>
  <c r="F18" i="96"/>
  <c r="F35" i="96" s="1"/>
  <c r="F17" i="96"/>
  <c r="F16" i="96"/>
  <c r="F15" i="96"/>
  <c r="D2" i="96"/>
  <c r="E123" i="95"/>
  <c r="C115" i="95"/>
  <c r="E111" i="95"/>
  <c r="C103" i="95"/>
  <c r="F97" i="95"/>
  <c r="A94" i="95"/>
  <c r="E93" i="95"/>
  <c r="C90" i="95"/>
  <c r="E85" i="95"/>
  <c r="F84" i="95"/>
  <c r="F83" i="95"/>
  <c r="F82" i="95"/>
  <c r="A81" i="95"/>
  <c r="C77" i="95"/>
  <c r="B76" i="95"/>
  <c r="C68" i="95"/>
  <c r="F59" i="95"/>
  <c r="E59" i="95"/>
  <c r="D59" i="95"/>
  <c r="C59" i="95"/>
  <c r="B59" i="95"/>
  <c r="F44" i="95"/>
  <c r="E44" i="95"/>
  <c r="D44" i="95"/>
  <c r="F31" i="95"/>
  <c r="F34" i="95" s="1"/>
  <c r="F28" i="95"/>
  <c r="E45" i="95" s="1"/>
  <c r="F27" i="95"/>
  <c r="B69" i="95" s="1"/>
  <c r="B58" i="95" s="1"/>
  <c r="F26" i="95"/>
  <c r="F25" i="95"/>
  <c r="F24" i="95"/>
  <c r="F18" i="95"/>
  <c r="G36" i="95" s="1"/>
  <c r="E76" i="95" s="1"/>
  <c r="G76" i="95" s="1"/>
  <c r="F17" i="95"/>
  <c r="F16" i="95"/>
  <c r="F15" i="95"/>
  <c r="F20" i="95" s="1"/>
  <c r="D2" i="95"/>
  <c r="G40" i="6"/>
  <c r="F40" i="6"/>
  <c r="L40" i="6"/>
  <c r="J40" i="6"/>
  <c r="D40" i="6"/>
  <c r="H40" i="6"/>
  <c r="I40" i="6"/>
  <c r="K40" i="6"/>
  <c r="E40" i="6"/>
  <c r="D45" i="96" l="1"/>
  <c r="F34" i="96"/>
  <c r="F32" i="96"/>
  <c r="D63" i="96" s="1"/>
  <c r="F20" i="96"/>
  <c r="E65" i="96" s="1"/>
  <c r="B111" i="96" s="1"/>
  <c r="D58" i="96"/>
  <c r="D60" i="96" s="1"/>
  <c r="B92" i="96" s="1"/>
  <c r="F32" i="95"/>
  <c r="E58" i="95"/>
  <c r="E60" i="95" s="1"/>
  <c r="E61" i="95" s="1"/>
  <c r="B104" i="95" s="1"/>
  <c r="C104" i="95" s="1"/>
  <c r="E65" i="102"/>
  <c r="B111" i="102" s="1"/>
  <c r="D65" i="102"/>
  <c r="F65" i="102"/>
  <c r="B123" i="102" s="1"/>
  <c r="D64" i="102"/>
  <c r="B100" i="102" s="1"/>
  <c r="D63" i="102"/>
  <c r="A38" i="102"/>
  <c r="G29" i="102"/>
  <c r="E64" i="102"/>
  <c r="B112" i="102" s="1"/>
  <c r="C64" i="102"/>
  <c r="C63" i="102"/>
  <c r="G30" i="102"/>
  <c r="G27" i="102"/>
  <c r="F64" i="102"/>
  <c r="B124" i="102" s="1"/>
  <c r="F63" i="102"/>
  <c r="E63" i="102"/>
  <c r="G31" i="102"/>
  <c r="G28" i="102"/>
  <c r="D61" i="102"/>
  <c r="B91" i="102" s="1"/>
  <c r="C91" i="102" s="1"/>
  <c r="B92" i="102"/>
  <c r="F45" i="102"/>
  <c r="F58" i="102" s="1"/>
  <c r="F60" i="102" s="1"/>
  <c r="F61" i="102" s="1"/>
  <c r="B116" i="102" s="1"/>
  <c r="C116" i="102" s="1"/>
  <c r="B75" i="102"/>
  <c r="B77" i="102" s="1"/>
  <c r="G36" i="102"/>
  <c r="E76" i="102" s="1"/>
  <c r="G76" i="102" s="1"/>
  <c r="B69" i="102"/>
  <c r="B58" i="102" s="1"/>
  <c r="D61" i="101"/>
  <c r="B91" i="101" s="1"/>
  <c r="C91" i="101" s="1"/>
  <c r="B92" i="101"/>
  <c r="B60" i="101"/>
  <c r="B61" i="101"/>
  <c r="B70" i="101" s="1"/>
  <c r="C70" i="101" s="1"/>
  <c r="C64" i="101"/>
  <c r="C63" i="101"/>
  <c r="G30" i="101"/>
  <c r="G27" i="101"/>
  <c r="E64" i="101"/>
  <c r="B112" i="101" s="1"/>
  <c r="E63" i="101"/>
  <c r="D63" i="101"/>
  <c r="A38" i="101"/>
  <c r="F64" i="101"/>
  <c r="B124" i="101" s="1"/>
  <c r="F63" i="101"/>
  <c r="G29" i="101"/>
  <c r="G31" i="101"/>
  <c r="G28" i="101"/>
  <c r="D64" i="101"/>
  <c r="B100" i="101" s="1"/>
  <c r="D65" i="101"/>
  <c r="F65" i="101"/>
  <c r="B123" i="101" s="1"/>
  <c r="E65" i="101"/>
  <c r="B111" i="101" s="1"/>
  <c r="G35" i="101"/>
  <c r="E75" i="101" s="1"/>
  <c r="A21" i="101"/>
  <c r="F36" i="101"/>
  <c r="F45" i="101"/>
  <c r="F58" i="101" s="1"/>
  <c r="F60" i="101" s="1"/>
  <c r="F61" i="101" s="1"/>
  <c r="B116" i="101" s="1"/>
  <c r="C116" i="101" s="1"/>
  <c r="B75" i="101"/>
  <c r="B77" i="101" s="1"/>
  <c r="F35" i="101"/>
  <c r="D65" i="100"/>
  <c r="F65" i="100"/>
  <c r="B123" i="100" s="1"/>
  <c r="E65" i="100"/>
  <c r="B111" i="100" s="1"/>
  <c r="G30" i="100"/>
  <c r="F64" i="100"/>
  <c r="B124" i="100" s="1"/>
  <c r="F63" i="100"/>
  <c r="G29" i="100"/>
  <c r="C64" i="100"/>
  <c r="C63" i="100"/>
  <c r="E64" i="100"/>
  <c r="B112" i="100" s="1"/>
  <c r="E63" i="100"/>
  <c r="G31" i="100"/>
  <c r="G28" i="100"/>
  <c r="D64" i="100"/>
  <c r="B100" i="100" s="1"/>
  <c r="D63" i="100"/>
  <c r="A38" i="100"/>
  <c r="G27" i="100"/>
  <c r="B78" i="100"/>
  <c r="B79" i="100" s="1"/>
  <c r="E86" i="100" s="1"/>
  <c r="A87" i="100" s="1"/>
  <c r="C58" i="100"/>
  <c r="C60" i="100" s="1"/>
  <c r="C61" i="100" s="1"/>
  <c r="F35" i="100"/>
  <c r="D45" i="100"/>
  <c r="D58" i="100" s="1"/>
  <c r="D60" i="100" s="1"/>
  <c r="G35" i="100"/>
  <c r="E75" i="100" s="1"/>
  <c r="B60" i="100"/>
  <c r="A21" i="100"/>
  <c r="F45" i="100"/>
  <c r="F58" i="100" s="1"/>
  <c r="F60" i="100" s="1"/>
  <c r="F61" i="100" s="1"/>
  <c r="B116" i="100" s="1"/>
  <c r="C116" i="100" s="1"/>
  <c r="D65" i="99"/>
  <c r="E65" i="99"/>
  <c r="B111" i="99" s="1"/>
  <c r="F65" i="99"/>
  <c r="B123" i="99" s="1"/>
  <c r="C64" i="99"/>
  <c r="C63" i="99"/>
  <c r="G30" i="99"/>
  <c r="G27" i="99"/>
  <c r="E64" i="99"/>
  <c r="B112" i="99" s="1"/>
  <c r="E63" i="99"/>
  <c r="D63" i="99"/>
  <c r="A38" i="99"/>
  <c r="F64" i="99"/>
  <c r="B124" i="99" s="1"/>
  <c r="F63" i="99"/>
  <c r="G29" i="99"/>
  <c r="G31" i="99"/>
  <c r="G28" i="99"/>
  <c r="D64" i="99"/>
  <c r="B100" i="99" s="1"/>
  <c r="B60" i="99"/>
  <c r="B61" i="99"/>
  <c r="B70" i="99" s="1"/>
  <c r="C70" i="99" s="1"/>
  <c r="D45" i="99"/>
  <c r="D58" i="99" s="1"/>
  <c r="D60" i="99" s="1"/>
  <c r="G35" i="99"/>
  <c r="E75" i="99" s="1"/>
  <c r="A21" i="99"/>
  <c r="F36" i="99"/>
  <c r="F45" i="99"/>
  <c r="F58" i="99" s="1"/>
  <c r="F60" i="99" s="1"/>
  <c r="F61" i="99" s="1"/>
  <c r="B116" i="99" s="1"/>
  <c r="C116" i="99" s="1"/>
  <c r="B75" i="99"/>
  <c r="B77" i="99" s="1"/>
  <c r="F35" i="99"/>
  <c r="D61" i="98"/>
  <c r="B91" i="98" s="1"/>
  <c r="C91" i="98" s="1"/>
  <c r="B92" i="98"/>
  <c r="D64" i="98"/>
  <c r="B100" i="98" s="1"/>
  <c r="D63" i="98"/>
  <c r="A38" i="98"/>
  <c r="E64" i="98"/>
  <c r="B112" i="98" s="1"/>
  <c r="C64" i="98"/>
  <c r="C63" i="98"/>
  <c r="G30" i="98"/>
  <c r="G27" i="98"/>
  <c r="F64" i="98"/>
  <c r="B124" i="98" s="1"/>
  <c r="F63" i="98"/>
  <c r="G29" i="98"/>
  <c r="E63" i="98"/>
  <c r="G31" i="98"/>
  <c r="G28" i="98"/>
  <c r="E65" i="98"/>
  <c r="B111" i="98" s="1"/>
  <c r="D65" i="98"/>
  <c r="F65" i="98"/>
  <c r="B123" i="98" s="1"/>
  <c r="F45" i="98"/>
  <c r="F58" i="98" s="1"/>
  <c r="F60" i="98" s="1"/>
  <c r="F61" i="98" s="1"/>
  <c r="B116" i="98" s="1"/>
  <c r="C116" i="98" s="1"/>
  <c r="B75" i="98"/>
  <c r="B77" i="98" s="1"/>
  <c r="G36" i="98"/>
  <c r="E76" i="98" s="1"/>
  <c r="G76" i="98" s="1"/>
  <c r="B69" i="98"/>
  <c r="B58" i="98" s="1"/>
  <c r="D61" i="97"/>
  <c r="B91" i="97" s="1"/>
  <c r="C91" i="97" s="1"/>
  <c r="B92" i="97"/>
  <c r="E65" i="97"/>
  <c r="B111" i="97" s="1"/>
  <c r="D65" i="97"/>
  <c r="F65" i="97"/>
  <c r="B123" i="97" s="1"/>
  <c r="E45" i="97"/>
  <c r="E58" i="97" s="1"/>
  <c r="E60" i="97" s="1"/>
  <c r="E61" i="97" s="1"/>
  <c r="B104" i="97" s="1"/>
  <c r="C104" i="97" s="1"/>
  <c r="F45" i="97"/>
  <c r="F58" i="97" s="1"/>
  <c r="F60" i="97" s="1"/>
  <c r="F61" i="97" s="1"/>
  <c r="B116" i="97" s="1"/>
  <c r="C116" i="97" s="1"/>
  <c r="B75" i="97"/>
  <c r="B77" i="97" s="1"/>
  <c r="G36" i="97"/>
  <c r="E76" i="97" s="1"/>
  <c r="G76" i="97" s="1"/>
  <c r="B69" i="97"/>
  <c r="B58" i="97" s="1"/>
  <c r="F32" i="97"/>
  <c r="B60" i="96"/>
  <c r="B61" i="96" s="1"/>
  <c r="B70" i="96" s="1"/>
  <c r="C70" i="96" s="1"/>
  <c r="F65" i="96"/>
  <c r="B123" i="96" s="1"/>
  <c r="D64" i="96"/>
  <c r="B100" i="96" s="1"/>
  <c r="E100" i="96" s="1"/>
  <c r="E45" i="96"/>
  <c r="E58" i="96" s="1"/>
  <c r="E60" i="96" s="1"/>
  <c r="E61" i="96" s="1"/>
  <c r="B104" i="96" s="1"/>
  <c r="C104" i="96" s="1"/>
  <c r="A21" i="96"/>
  <c r="F36" i="96"/>
  <c r="F45" i="96"/>
  <c r="F58" i="96" s="1"/>
  <c r="F60" i="96" s="1"/>
  <c r="F61" i="96" s="1"/>
  <c r="B116" i="96" s="1"/>
  <c r="C116" i="96" s="1"/>
  <c r="G36" i="96"/>
  <c r="E76" i="96" s="1"/>
  <c r="G76" i="96" s="1"/>
  <c r="G30" i="95"/>
  <c r="G27" i="95"/>
  <c r="B75" i="95" s="1"/>
  <c r="B77" i="95" s="1"/>
  <c r="G29" i="95"/>
  <c r="E64" i="95"/>
  <c r="B112" i="95" s="1"/>
  <c r="E112" i="95" s="1"/>
  <c r="E63" i="95"/>
  <c r="G31" i="95"/>
  <c r="G28" i="95"/>
  <c r="A38" i="95"/>
  <c r="D65" i="95"/>
  <c r="F65" i="95"/>
  <c r="B123" i="95" s="1"/>
  <c r="E65" i="95"/>
  <c r="B111" i="95" s="1"/>
  <c r="B61" i="95"/>
  <c r="B70" i="95" s="1"/>
  <c r="C70" i="95" s="1"/>
  <c r="B60" i="95"/>
  <c r="F35" i="95"/>
  <c r="D45" i="95"/>
  <c r="D58" i="95" s="1"/>
  <c r="D60" i="95" s="1"/>
  <c r="G35" i="95"/>
  <c r="E75" i="95" s="1"/>
  <c r="A21" i="95"/>
  <c r="F36" i="95"/>
  <c r="F45" i="95"/>
  <c r="F58" i="95" s="1"/>
  <c r="F60" i="95" s="1"/>
  <c r="F61" i="95" s="1"/>
  <c r="B116" i="95" s="1"/>
  <c r="C116" i="95" s="1"/>
  <c r="E85" i="9"/>
  <c r="C59" i="9"/>
  <c r="D61" i="96" l="1"/>
  <c r="B91" i="96" s="1"/>
  <c r="C91" i="96" s="1"/>
  <c r="G29" i="96"/>
  <c r="G27" i="96"/>
  <c r="G31" i="96"/>
  <c r="G30" i="96"/>
  <c r="F64" i="96"/>
  <c r="B124" i="96" s="1"/>
  <c r="E124" i="96" s="1"/>
  <c r="G28" i="96"/>
  <c r="E63" i="96"/>
  <c r="F63" i="96"/>
  <c r="E64" i="96"/>
  <c r="B112" i="96" s="1"/>
  <c r="E112" i="96" s="1"/>
  <c r="A38" i="96"/>
  <c r="D65" i="96"/>
  <c r="D64" i="95"/>
  <c r="B100" i="95" s="1"/>
  <c r="E100" i="95" s="1"/>
  <c r="F63" i="95"/>
  <c r="D63" i="95"/>
  <c r="F64" i="95"/>
  <c r="B124" i="95" s="1"/>
  <c r="E124" i="95" s="1"/>
  <c r="C58" i="102"/>
  <c r="B61" i="102"/>
  <c r="B70" i="102" s="1"/>
  <c r="C70" i="102" s="1"/>
  <c r="B60" i="102"/>
  <c r="C58" i="101"/>
  <c r="B92" i="100"/>
  <c r="D61" i="100"/>
  <c r="B91" i="100" s="1"/>
  <c r="C91" i="100" s="1"/>
  <c r="B92" i="99"/>
  <c r="D61" i="99"/>
  <c r="B91" i="99" s="1"/>
  <c r="C91" i="99" s="1"/>
  <c r="C58" i="99"/>
  <c r="C58" i="98"/>
  <c r="B61" i="98"/>
  <c r="B70" i="98" s="1"/>
  <c r="C70" i="98" s="1"/>
  <c r="B60" i="98"/>
  <c r="B61" i="97"/>
  <c r="B70" i="97" s="1"/>
  <c r="C70" i="97" s="1"/>
  <c r="B60" i="97"/>
  <c r="C58" i="97"/>
  <c r="D64" i="97"/>
  <c r="B100" i="97" s="1"/>
  <c r="D63" i="97"/>
  <c r="A38" i="97"/>
  <c r="G29" i="97"/>
  <c r="C64" i="97"/>
  <c r="C63" i="97"/>
  <c r="G30" i="97"/>
  <c r="G27" i="97"/>
  <c r="F64" i="97"/>
  <c r="B124" i="97" s="1"/>
  <c r="F63" i="97"/>
  <c r="E64" i="97"/>
  <c r="B112" i="97" s="1"/>
  <c r="E63" i="97"/>
  <c r="G31" i="97"/>
  <c r="G28" i="97"/>
  <c r="C58" i="95"/>
  <c r="B92" i="95"/>
  <c r="D61" i="95"/>
  <c r="B91" i="95" s="1"/>
  <c r="C91" i="95" s="1"/>
  <c r="D44" i="9"/>
  <c r="E44" i="9"/>
  <c r="F31" i="9"/>
  <c r="B75" i="96" l="1"/>
  <c r="B77" i="96" s="1"/>
  <c r="C58" i="96" s="1"/>
  <c r="C64" i="96" s="1"/>
  <c r="C64" i="95"/>
  <c r="C63" i="95"/>
  <c r="C60" i="102"/>
  <c r="C61" i="102" s="1"/>
  <c r="B78" i="102"/>
  <c r="B79" i="102" s="1"/>
  <c r="E86" i="102" s="1"/>
  <c r="A87" i="102" s="1"/>
  <c r="C60" i="101"/>
  <c r="C61" i="101" s="1"/>
  <c r="B78" i="101"/>
  <c r="B79" i="101" s="1"/>
  <c r="E86" i="101" s="1"/>
  <c r="A87" i="101" s="1"/>
  <c r="C60" i="99"/>
  <c r="C61" i="99" s="1"/>
  <c r="B78" i="99"/>
  <c r="B79" i="99" s="1"/>
  <c r="E86" i="99" s="1"/>
  <c r="A87" i="99" s="1"/>
  <c r="C60" i="98"/>
  <c r="C61" i="98" s="1"/>
  <c r="B78" i="98"/>
  <c r="B79" i="98" s="1"/>
  <c r="E86" i="98" s="1"/>
  <c r="A87" i="98" s="1"/>
  <c r="C60" i="97"/>
  <c r="C61" i="97" s="1"/>
  <c r="B78" i="97"/>
  <c r="B79" i="97" s="1"/>
  <c r="E86" i="97" s="1"/>
  <c r="A87" i="97" s="1"/>
  <c r="B78" i="96"/>
  <c r="B79" i="96" s="1"/>
  <c r="E86" i="96" s="1"/>
  <c r="A87" i="96" s="1"/>
  <c r="C60" i="95"/>
  <c r="C61" i="95" s="1"/>
  <c r="B78" i="95"/>
  <c r="B79" i="95" s="1"/>
  <c r="E86" i="95" s="1"/>
  <c r="A87" i="95" s="1"/>
  <c r="F44" i="9"/>
  <c r="F28" i="9"/>
  <c r="F27" i="9"/>
  <c r="E37" i="6"/>
  <c r="L57" i="6"/>
  <c r="L9" i="6"/>
  <c r="K36" i="6"/>
  <c r="F39" i="6"/>
  <c r="F27" i="6"/>
  <c r="J7" i="6"/>
  <c r="K47" i="6"/>
  <c r="K12" i="6"/>
  <c r="J19" i="6"/>
  <c r="K48" i="6"/>
  <c r="K55" i="6"/>
  <c r="I13" i="6"/>
  <c r="E26" i="6"/>
  <c r="I37" i="6"/>
  <c r="I49" i="6"/>
  <c r="G9" i="6"/>
  <c r="G13" i="6"/>
  <c r="E7" i="6"/>
  <c r="E46" i="6"/>
  <c r="K7" i="6"/>
  <c r="G46" i="6"/>
  <c r="K11" i="6"/>
  <c r="J27" i="6"/>
  <c r="E13" i="6"/>
  <c r="H11" i="6"/>
  <c r="K8" i="6"/>
  <c r="K13" i="6"/>
  <c r="J13" i="6"/>
  <c r="G57" i="6"/>
  <c r="E9" i="6"/>
  <c r="G55" i="6"/>
  <c r="F55" i="6"/>
  <c r="E19" i="6"/>
  <c r="F18" i="6"/>
  <c r="K26" i="6"/>
  <c r="F11" i="6"/>
  <c r="F7" i="6"/>
  <c r="J39" i="6"/>
  <c r="E55" i="6"/>
  <c r="J46" i="6"/>
  <c r="F37" i="6"/>
  <c r="J26" i="6"/>
  <c r="H13" i="6"/>
  <c r="E36" i="6"/>
  <c r="L11" i="6"/>
  <c r="E39" i="6"/>
  <c r="I9" i="6"/>
  <c r="K6" i="6"/>
  <c r="L47" i="6"/>
  <c r="G39" i="6"/>
  <c r="H26" i="6"/>
  <c r="F49" i="6"/>
  <c r="K39" i="6"/>
  <c r="L39" i="6"/>
  <c r="E8" i="6"/>
  <c r="G19" i="6"/>
  <c r="E27" i="6"/>
  <c r="H49" i="6"/>
  <c r="E11" i="6"/>
  <c r="L49" i="6"/>
  <c r="F46" i="6"/>
  <c r="K58" i="6"/>
  <c r="J47" i="6"/>
  <c r="I57" i="6"/>
  <c r="E14" i="6"/>
  <c r="L46" i="6"/>
  <c r="K19" i="15"/>
  <c r="E49" i="6"/>
  <c r="H55" i="6"/>
  <c r="D55" i="6"/>
  <c r="E6" i="6"/>
  <c r="F13" i="6"/>
  <c r="H12" i="6"/>
  <c r="L48" i="6"/>
  <c r="L55" i="6"/>
  <c r="K14" i="15"/>
  <c r="I39" i="6"/>
  <c r="E18" i="6"/>
  <c r="I56" i="6"/>
  <c r="J11" i="6"/>
  <c r="H19" i="6"/>
  <c r="J8" i="6"/>
  <c r="K37" i="6"/>
  <c r="D37" i="6"/>
  <c r="H47" i="6"/>
  <c r="E56" i="6"/>
  <c r="G36" i="6"/>
  <c r="D36" i="6"/>
  <c r="K14" i="6"/>
  <c r="L13" i="6"/>
  <c r="G26" i="6"/>
  <c r="F47" i="6"/>
  <c r="G6" i="6"/>
  <c r="K56" i="6"/>
  <c r="K18" i="6"/>
  <c r="H36" i="6"/>
  <c r="D46" i="6"/>
  <c r="E48" i="6"/>
  <c r="F58" i="6"/>
  <c r="I6" i="6"/>
  <c r="J57" i="6"/>
  <c r="D57" i="6"/>
  <c r="H39" i="6"/>
  <c r="I36" i="6"/>
  <c r="G18" i="6"/>
  <c r="L27" i="6"/>
  <c r="K18" i="15"/>
  <c r="I11" i="6"/>
  <c r="L56" i="6"/>
  <c r="I7" i="6"/>
  <c r="K17" i="15"/>
  <c r="G56" i="6"/>
  <c r="J36" i="6"/>
  <c r="L12" i="6"/>
  <c r="G7" i="6"/>
  <c r="G27" i="6"/>
  <c r="H58" i="6"/>
  <c r="D8" i="6"/>
  <c r="J14" i="6"/>
  <c r="K46" i="6"/>
  <c r="H37" i="6"/>
  <c r="G11" i="6"/>
  <c r="E47" i="6"/>
  <c r="G14" i="6"/>
  <c r="F12" i="6"/>
  <c r="I26" i="6"/>
  <c r="D7" i="6"/>
  <c r="F14" i="6"/>
  <c r="K27" i="6"/>
  <c r="D9" i="6"/>
  <c r="L19" i="6"/>
  <c r="D48" i="6"/>
  <c r="I27" i="6"/>
  <c r="J58" i="6"/>
  <c r="J9" i="6"/>
  <c r="K15" i="15"/>
  <c r="K57" i="6"/>
  <c r="D14" i="6"/>
  <c r="L36" i="6"/>
  <c r="G8" i="6"/>
  <c r="H18" i="6"/>
  <c r="K9" i="6"/>
  <c r="I12" i="6"/>
  <c r="D27" i="6"/>
  <c r="D47" i="6"/>
  <c r="D56" i="6"/>
  <c r="I19" i="6"/>
  <c r="D58" i="6"/>
  <c r="H9" i="6"/>
  <c r="H46" i="6"/>
  <c r="J56" i="6"/>
  <c r="K16" i="15"/>
  <c r="K19" i="6"/>
  <c r="L8" i="6"/>
  <c r="J37" i="6"/>
  <c r="G48" i="6"/>
  <c r="J12" i="6"/>
  <c r="H48" i="6"/>
  <c r="I47" i="6"/>
  <c r="F48" i="6"/>
  <c r="H8" i="6"/>
  <c r="G58" i="6"/>
  <c r="I18" i="6"/>
  <c r="I58" i="6"/>
  <c r="H57" i="6"/>
  <c r="E57" i="6"/>
  <c r="H6" i="6"/>
  <c r="L37" i="6"/>
  <c r="I55" i="6"/>
  <c r="L26" i="6"/>
  <c r="G49" i="6"/>
  <c r="F6" i="6"/>
  <c r="D49" i="6"/>
  <c r="F56" i="6"/>
  <c r="J6" i="6"/>
  <c r="F9" i="6"/>
  <c r="G12" i="6"/>
  <c r="F19" i="6"/>
  <c r="H27" i="6"/>
  <c r="J55" i="6"/>
  <c r="D6" i="6"/>
  <c r="F57" i="6"/>
  <c r="H56" i="6"/>
  <c r="I8" i="6"/>
  <c r="E58" i="6"/>
  <c r="J48" i="6"/>
  <c r="J18" i="6"/>
  <c r="G37" i="6"/>
  <c r="I46" i="6"/>
  <c r="K49" i="6"/>
  <c r="L14" i="6"/>
  <c r="L58" i="6"/>
  <c r="H14" i="6"/>
  <c r="L6" i="6"/>
  <c r="J49" i="6"/>
  <c r="F8" i="6"/>
  <c r="I14" i="6"/>
  <c r="I48" i="6"/>
  <c r="L7" i="6"/>
  <c r="F36" i="6"/>
  <c r="L18" i="6"/>
  <c r="E12" i="6"/>
  <c r="G47" i="6"/>
  <c r="H7" i="6"/>
  <c r="E20" i="6" l="1"/>
  <c r="I10" i="6"/>
  <c r="J10" i="6"/>
  <c r="I28" i="6"/>
  <c r="E10" i="6"/>
  <c r="L20" i="6"/>
  <c r="F10" i="6"/>
  <c r="L28" i="6"/>
  <c r="H10" i="6"/>
  <c r="K20" i="6"/>
  <c r="I20" i="6"/>
  <c r="G10" i="6"/>
  <c r="L10" i="6"/>
  <c r="G28" i="6"/>
  <c r="H28" i="6"/>
  <c r="K10" i="6"/>
  <c r="J20" i="6"/>
  <c r="J28" i="6"/>
  <c r="H20" i="6"/>
  <c r="K28" i="6"/>
  <c r="G20" i="6"/>
  <c r="C63" i="96"/>
  <c r="C60" i="96"/>
  <c r="C61" i="96" s="1"/>
  <c r="D10" i="6"/>
  <c r="D45" i="9"/>
  <c r="D58" i="9" s="1"/>
  <c r="F45" i="9"/>
  <c r="E45" i="9"/>
  <c r="F34" i="9"/>
  <c r="B69" i="9"/>
  <c r="L54" i="6"/>
  <c r="K54" i="6"/>
  <c r="J54" i="6"/>
  <c r="I54" i="6"/>
  <c r="H54" i="6"/>
  <c r="G54" i="6"/>
  <c r="F54" i="6"/>
  <c r="E54" i="6"/>
  <c r="D54" i="6"/>
  <c r="L45" i="6"/>
  <c r="K45" i="6"/>
  <c r="J45" i="6"/>
  <c r="I45" i="6"/>
  <c r="H45" i="6"/>
  <c r="G45" i="6"/>
  <c r="F45" i="6"/>
  <c r="E45" i="6"/>
  <c r="D45" i="6"/>
  <c r="L35" i="6"/>
  <c r="K35" i="6"/>
  <c r="J35" i="6"/>
  <c r="I35" i="6"/>
  <c r="H35" i="6"/>
  <c r="G35" i="6"/>
  <c r="F35" i="6"/>
  <c r="E35" i="6"/>
  <c r="D35" i="6"/>
  <c r="L25" i="6"/>
  <c r="K25" i="6"/>
  <c r="J25" i="6"/>
  <c r="I25" i="6"/>
  <c r="H25" i="6"/>
  <c r="G25" i="6"/>
  <c r="F25" i="6"/>
  <c r="E25" i="6"/>
  <c r="D25" i="6"/>
  <c r="L17" i="6"/>
  <c r="K17" i="6"/>
  <c r="J17" i="6"/>
  <c r="I17" i="6"/>
  <c r="H17" i="6"/>
  <c r="G17" i="6"/>
  <c r="F17" i="6"/>
  <c r="E17" i="6"/>
  <c r="D17" i="6"/>
  <c r="E28" i="6"/>
  <c r="G38" i="6"/>
  <c r="F38" i="6"/>
  <c r="D39" i="6"/>
  <c r="I38" i="6"/>
  <c r="E38" i="6"/>
  <c r="K38" i="6"/>
  <c r="H38" i="6"/>
  <c r="F26" i="6"/>
  <c r="J38" i="6"/>
  <c r="L38" i="6"/>
  <c r="F20" i="6"/>
  <c r="E58" i="9" l="1"/>
  <c r="F58" i="9"/>
  <c r="F28" i="6"/>
  <c r="C77" i="9" l="1"/>
  <c r="D12" i="6"/>
  <c r="D13" i="6"/>
  <c r="C90" i="9" l="1"/>
  <c r="A94" i="9" l="1"/>
  <c r="D2" i="9" l="1"/>
  <c r="B59" i="9"/>
  <c r="D59" i="9"/>
  <c r="F59" i="9"/>
  <c r="E59" i="9"/>
  <c r="D19" i="6"/>
  <c r="C103" i="9" l="1"/>
  <c r="A81" i="9"/>
  <c r="F82" i="9"/>
  <c r="F84" i="9"/>
  <c r="F83" i="9"/>
  <c r="F97" i="9"/>
  <c r="C115" i="9" l="1"/>
  <c r="C68" i="9"/>
  <c r="E93" i="9" l="1"/>
  <c r="E14" i="2" l="1"/>
  <c r="D14" i="2"/>
  <c r="C14" i="2"/>
  <c r="B14" i="2"/>
  <c r="B17" i="2"/>
  <c r="E17" i="2"/>
  <c r="D17" i="2"/>
  <c r="C17" i="2"/>
  <c r="E16" i="2"/>
  <c r="D16" i="2"/>
  <c r="C16" i="2"/>
  <c r="B16" i="2"/>
  <c r="F26" i="9" l="1"/>
  <c r="F25" i="9"/>
  <c r="F24" i="9"/>
  <c r="F18" i="9"/>
  <c r="F17" i="9"/>
  <c r="F16" i="9"/>
  <c r="F15" i="9"/>
  <c r="F35" i="9" l="1"/>
  <c r="F20" i="9"/>
  <c r="A21" i="9"/>
  <c r="F36" i="9"/>
  <c r="F32" i="9"/>
  <c r="D11" i="6"/>
  <c r="G28" i="9" l="1"/>
  <c r="G30" i="9"/>
  <c r="G31" i="9"/>
  <c r="G27" i="9"/>
  <c r="G29" i="9"/>
  <c r="E65" i="9"/>
  <c r="D65" i="9"/>
  <c r="F65" i="9"/>
  <c r="A38" i="9"/>
  <c r="G36" i="9"/>
  <c r="E76" i="9" s="1"/>
  <c r="G76" i="9" s="1"/>
  <c r="G35" i="9"/>
  <c r="E75" i="9" s="1"/>
  <c r="E63" i="9"/>
  <c r="F63" i="9"/>
  <c r="D63" i="9"/>
  <c r="E64" i="9"/>
  <c r="F64" i="9"/>
  <c r="D64" i="9"/>
  <c r="B76" i="9"/>
  <c r="C8" i="6"/>
  <c r="B75" i="9" l="1"/>
  <c r="C9" i="6"/>
  <c r="C6" i="6"/>
  <c r="C7" i="6"/>
  <c r="C11" i="6"/>
  <c r="C10" i="6"/>
  <c r="B77" i="9" l="1"/>
  <c r="B58" i="9"/>
  <c r="B61" i="9" s="1"/>
  <c r="D18" i="6"/>
  <c r="D20" i="6" l="1"/>
  <c r="C58" i="9"/>
  <c r="B78" i="9" s="1"/>
  <c r="B79" i="9" s="1"/>
  <c r="E86" i="9" s="1"/>
  <c r="B60" i="9"/>
  <c r="B15" i="2"/>
  <c r="E15" i="2"/>
  <c r="D15" i="2"/>
  <c r="C15" i="2"/>
  <c r="E13" i="2"/>
  <c r="D13" i="2"/>
  <c r="C13" i="2"/>
  <c r="B13" i="2"/>
  <c r="D26" i="6"/>
  <c r="C63" i="9" l="1"/>
  <c r="C64" i="9"/>
  <c r="C60" i="9"/>
  <c r="C61" i="9" s="1"/>
  <c r="B123" i="9"/>
  <c r="E123" i="9" s="1"/>
  <c r="B111" i="9"/>
  <c r="E111" i="9" s="1"/>
  <c r="D28" i="6"/>
  <c r="B70" i="9" l="1"/>
  <c r="C26" i="6"/>
  <c r="B124" i="9"/>
  <c r="E124" i="9" s="1"/>
  <c r="B112" i="9"/>
  <c r="E112" i="9" s="1"/>
  <c r="B100" i="9"/>
  <c r="E100" i="9" s="1"/>
  <c r="E60" i="9"/>
  <c r="E61" i="9" s="1"/>
  <c r="F60" i="9"/>
  <c r="F61" i="9" s="1"/>
  <c r="C19" i="6" l="1"/>
  <c r="C18" i="6"/>
  <c r="C70" i="9"/>
  <c r="D60" i="9"/>
  <c r="B116" i="9"/>
  <c r="C116" i="9" s="1"/>
  <c r="B104" i="9"/>
  <c r="C104" i="9" s="1"/>
  <c r="D61" i="9" l="1"/>
  <c r="B91" i="9" s="1"/>
  <c r="B92" i="9"/>
  <c r="C20" i="6"/>
  <c r="C27" i="6"/>
  <c r="C28" i="6" s="1"/>
  <c r="C39" i="6"/>
  <c r="A87" i="9"/>
  <c r="C40" i="6" l="1"/>
  <c r="D38" i="6"/>
  <c r="C9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FC37F21-4CA8-4179-9C64-3C10203D1F8F}">
      <text>
        <r>
          <rPr>
            <sz val="9"/>
            <color indexed="81"/>
            <rFont val="Tahoma"/>
            <family val="2"/>
          </rPr>
          <t>Do not include any previously authorized impervious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FFD6D32E-2614-4A32-9B7B-B155FC62FA03}">
      <text>
        <r>
          <rPr>
            <sz val="9"/>
            <color indexed="81"/>
            <rFont val="Tahoma"/>
            <family val="2"/>
          </rPr>
          <t>Do not include any previously authorized impervious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E69731C6-07BA-4ADD-AE1E-7BA3263BEC3A}">
      <text>
        <r>
          <rPr>
            <sz val="9"/>
            <color indexed="81"/>
            <rFont val="Tahoma"/>
            <family val="2"/>
          </rPr>
          <t>Do not include any previously authorized impervious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E9C6282D-5F78-48DA-AB26-3A9D8A3ADC45}">
      <text>
        <r>
          <rPr>
            <sz val="9"/>
            <color indexed="81"/>
            <rFont val="Tahoma"/>
            <family val="2"/>
          </rPr>
          <t>Do not include any previously authorized impervious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D0D94E0-DF69-4ACF-8CAA-03C62FD1B997}">
      <text>
        <r>
          <rPr>
            <sz val="9"/>
            <color indexed="81"/>
            <rFont val="Tahoma"/>
            <family val="2"/>
          </rPr>
          <t>Do not include any previously authorized impervious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5AFA048E-6B8C-4627-9E7C-64857EFB4926}">
      <text>
        <r>
          <rPr>
            <sz val="9"/>
            <color indexed="81"/>
            <rFont val="Tahoma"/>
            <family val="2"/>
          </rPr>
          <t>Do not include any previously authorized impervious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60F6C222-1B2E-4BCF-B3AF-DBE3D487F92E}">
      <text>
        <r>
          <rPr>
            <sz val="9"/>
            <color indexed="81"/>
            <rFont val="Tahoma"/>
            <family val="2"/>
          </rPr>
          <t>Do not include any previously authorized impervious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D93B38A-929D-4BFC-B8F3-4E951077DCCF}">
      <text>
        <r>
          <rPr>
            <sz val="9"/>
            <color indexed="81"/>
            <rFont val="Tahoma"/>
            <family val="2"/>
          </rPr>
          <t>Do not include any previously authorized impervious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D0433829-5F38-42D1-B2A7-9321C6836471}">
      <text>
        <r>
          <rPr>
            <sz val="9"/>
            <color indexed="81"/>
            <rFont val="Tahoma"/>
            <family val="2"/>
          </rPr>
          <t>Do not include any previously authorized impervious</t>
        </r>
      </text>
    </comment>
  </commentList>
</comments>
</file>

<file path=xl/sharedStrings.xml><?xml version="1.0" encoding="utf-8"?>
<sst xmlns="http://schemas.openxmlformats.org/spreadsheetml/2006/main" count="1587" uniqueCount="257">
  <si>
    <t>Precipitation (inches)</t>
  </si>
  <si>
    <t>Hydrologic Soil Group</t>
  </si>
  <si>
    <t>A</t>
  </si>
  <si>
    <t>B</t>
  </si>
  <si>
    <t>C</t>
  </si>
  <si>
    <t>D</t>
  </si>
  <si>
    <t>Grass</t>
  </si>
  <si>
    <t>Woods</t>
  </si>
  <si>
    <t>Landuse</t>
  </si>
  <si>
    <t>Total Site Area</t>
  </si>
  <si>
    <t>Curve Numbers</t>
  </si>
  <si>
    <t>S=1000/CN - 10</t>
  </si>
  <si>
    <t>Recharge Factors</t>
  </si>
  <si>
    <t>Total</t>
  </si>
  <si>
    <t>Disconnection Slope</t>
  </si>
  <si>
    <t>HSG</t>
  </si>
  <si>
    <t>&lt;8%</t>
  </si>
  <si>
    <t>8-15%</t>
  </si>
  <si>
    <t>A/B</t>
  </si>
  <si>
    <t>C/D</t>
  </si>
  <si>
    <t>Simple Disconnection Required Treatment Length</t>
  </si>
  <si>
    <t>Disconnection to filter strips and vegetated buffers - Required Treatment Lengths</t>
  </si>
  <si>
    <t>&lt;4%</t>
  </si>
  <si>
    <t>4-6%</t>
  </si>
  <si>
    <t>6-8%</t>
  </si>
  <si>
    <t>Permeable Pavement</t>
  </si>
  <si>
    <t>Infiltration Trench</t>
  </si>
  <si>
    <t>Infiltration Basin</t>
  </si>
  <si>
    <t>Recharge Factor</t>
  </si>
  <si>
    <t>Project name</t>
  </si>
  <si>
    <t>Discharge point serial number (e.g. S/N 001)</t>
  </si>
  <si>
    <t xml:space="preserve">Name of receiving water </t>
  </si>
  <si>
    <t>General Discharge Point Information</t>
  </si>
  <si>
    <t>Standard</t>
  </si>
  <si>
    <t>n/a</t>
  </si>
  <si>
    <t>Green Roofs</t>
  </si>
  <si>
    <t>Pre-Development CN</t>
  </si>
  <si>
    <t>Gravel/ Unpaved Roads</t>
  </si>
  <si>
    <t>Meadow</t>
  </si>
  <si>
    <t>Redeveloped Impervious</t>
  </si>
  <si>
    <t xml:space="preserve">* Preciptation values shall be obtained from </t>
  </si>
  <si>
    <t>NOAA Atlas 14</t>
  </si>
  <si>
    <r>
      <t>CN</t>
    </r>
    <r>
      <rPr>
        <vertAlign val="subscript"/>
        <sz val="11"/>
        <color theme="1"/>
        <rFont val="Calibri"/>
        <family val="2"/>
        <scheme val="minor"/>
      </rPr>
      <t>adj</t>
    </r>
  </si>
  <si>
    <t>Post-Development CN</t>
  </si>
  <si>
    <t>Standard met with HCM?</t>
  </si>
  <si>
    <t>Waivers</t>
  </si>
  <si>
    <t>CPv</t>
  </si>
  <si>
    <t>QP10</t>
  </si>
  <si>
    <t>QP100</t>
  </si>
  <si>
    <t>&lt;2 cfs pre-routed, post development 1 yr discharge</t>
  </si>
  <si>
    <t>&lt;2 cfs pre-routed, post development 10 yr discharge</t>
  </si>
  <si>
    <t>&lt;10 acres impervious</t>
  </si>
  <si>
    <t>Storm</t>
  </si>
  <si>
    <t>Precipitation Data</t>
  </si>
  <si>
    <t>WQ Storm</t>
  </si>
  <si>
    <t>1 yr, 24 hr</t>
  </si>
  <si>
    <t>10 yr, 24 hr</t>
  </si>
  <si>
    <t>100 yr, 24 hr</t>
  </si>
  <si>
    <t>Pre Development Land Use (acres)</t>
  </si>
  <si>
    <t>Runoff Calculations</t>
  </si>
  <si>
    <t>1 yr, 24-hr</t>
  </si>
  <si>
    <t>10 yr, 24-hr</t>
  </si>
  <si>
    <t>100 yr, 24-hr</t>
  </si>
  <si>
    <t>Pavement, Roofs, and other impervious (not gravel)</t>
  </si>
  <si>
    <t>Tier 1/Runoff Reduction Practices</t>
  </si>
  <si>
    <t>Simple Disconnection</t>
  </si>
  <si>
    <t>Dry Swales (infiltrating)</t>
  </si>
  <si>
    <t>Drywell(s)</t>
  </si>
  <si>
    <t>Filters (infiltrating)</t>
  </si>
  <si>
    <t>Infiltration Chambers</t>
  </si>
  <si>
    <t>Rainwater Harvesting</t>
  </si>
  <si>
    <t>Practice</t>
  </si>
  <si>
    <r>
      <t>T</t>
    </r>
    <r>
      <rPr>
        <vertAlign val="subscript"/>
        <sz val="11"/>
        <color theme="1"/>
        <rFont val="Calibri"/>
        <family val="2"/>
        <scheme val="minor"/>
      </rPr>
      <t>V</t>
    </r>
    <r>
      <rPr>
        <sz val="11"/>
        <color theme="1"/>
        <rFont val="Calibri"/>
        <family val="2"/>
        <scheme val="minor"/>
      </rPr>
      <t xml:space="preserve"> Provided (ac-ft)</t>
    </r>
  </si>
  <si>
    <t>Re</t>
  </si>
  <si>
    <t>WQ</t>
  </si>
  <si>
    <t>CP</t>
  </si>
  <si>
    <t>Groundwater Recharge Standard (Re)</t>
  </si>
  <si>
    <t>Standard Applicable?</t>
  </si>
  <si>
    <t>Recharge Waivers</t>
  </si>
  <si>
    <t>HSG D Soils</t>
  </si>
  <si>
    <t>Standard Met with HCM?</t>
  </si>
  <si>
    <t>Provide Extended Detention for:</t>
  </si>
  <si>
    <t>Drainage Area Information</t>
  </si>
  <si>
    <t>Tier 2 &amp; 3 WQ Practices</t>
  </si>
  <si>
    <t>Filter (not designed to infiltrate)</t>
  </si>
  <si>
    <t>Wet Pond</t>
  </si>
  <si>
    <t>Shallow Surface Wetland</t>
  </si>
  <si>
    <t>Gravel Wetland</t>
  </si>
  <si>
    <t>Alternative Treatment Practice</t>
  </si>
  <si>
    <t>Dry Swale (not designed to infiltrate)</t>
  </si>
  <si>
    <t>ac-ft</t>
  </si>
  <si>
    <r>
      <t>CN</t>
    </r>
    <r>
      <rPr>
        <vertAlign val="subscript"/>
        <sz val="11"/>
        <color theme="1"/>
        <rFont val="Calibri"/>
        <family val="2"/>
        <scheme val="minor"/>
      </rPr>
      <t>Adj</t>
    </r>
  </si>
  <si>
    <t>Warm or Cold Water Fishery?</t>
  </si>
  <si>
    <t>Provide:</t>
  </si>
  <si>
    <t>→</t>
  </si>
  <si>
    <t>Water Quality Treatment Standard (WQ)</t>
  </si>
  <si>
    <t>Channel Protection Standard (CP)</t>
  </si>
  <si>
    <r>
      <t>Overbank Flood Protection (Q</t>
    </r>
    <r>
      <rPr>
        <b/>
        <vertAlign val="subscript"/>
        <sz val="12"/>
        <color theme="1"/>
        <rFont val="Calibri"/>
        <family val="2"/>
        <scheme val="minor"/>
      </rPr>
      <t>P10</t>
    </r>
    <r>
      <rPr>
        <b/>
        <sz val="12"/>
        <color theme="1"/>
        <rFont val="Calibri"/>
        <family val="2"/>
        <scheme val="minor"/>
      </rPr>
      <t>)</t>
    </r>
  </si>
  <si>
    <t>Extended Detention Practices</t>
  </si>
  <si>
    <t>Dry Pond</t>
  </si>
  <si>
    <t>Subsurface Detention</t>
  </si>
  <si>
    <r>
      <t xml:space="preserve">Direct discharge to drainage area </t>
    </r>
    <r>
      <rPr>
        <sz val="11"/>
        <color theme="1"/>
        <rFont val="Calibri"/>
        <family val="2"/>
      </rPr>
      <t>≥10 sq.mi</t>
    </r>
  </si>
  <si>
    <t>(Watershed Lag Method)</t>
  </si>
  <si>
    <t xml:space="preserve">All curve numbers (CN) calculated in this workbook are flow-weighted.  Pre and post-development CN are back calculated from the flow volume of the storm of interest. </t>
  </si>
  <si>
    <t>STP used:</t>
  </si>
  <si>
    <t>Pre-development peak discharge rate (cfs)</t>
  </si>
  <si>
    <t>Routed, post-development peak discharge rate (cfs)</t>
  </si>
  <si>
    <t>Pre-routed, post-development peak discharge rate (cfs)</t>
  </si>
  <si>
    <r>
      <t>Extreme Flood Protection (Q</t>
    </r>
    <r>
      <rPr>
        <b/>
        <vertAlign val="subscript"/>
        <sz val="12"/>
        <color theme="1"/>
        <rFont val="Calibri"/>
        <family val="2"/>
        <scheme val="minor"/>
      </rPr>
      <t>P100</t>
    </r>
    <r>
      <rPr>
        <b/>
        <sz val="12"/>
        <color theme="1"/>
        <rFont val="Calibri"/>
        <family val="2"/>
        <scheme val="minor"/>
      </rPr>
      <t>)</t>
    </r>
  </si>
  <si>
    <t>Runoff Reduction Calculations</t>
  </si>
  <si>
    <t>Standard met with Tier 1 Practices?</t>
  </si>
  <si>
    <r>
      <t>Total WQ</t>
    </r>
    <r>
      <rPr>
        <vertAlign val="subscript"/>
        <sz val="11"/>
        <color theme="1"/>
        <rFont val="Calibri"/>
        <family val="2"/>
        <scheme val="minor"/>
      </rPr>
      <t>V</t>
    </r>
  </si>
  <si>
    <t>Predevelopment runoff volume (ac-ft)</t>
  </si>
  <si>
    <t>Pre-routed, post development runoff volume (ac-ft)</t>
  </si>
  <si>
    <t>STPs</t>
  </si>
  <si>
    <t>Reduced Impervious</t>
  </si>
  <si>
    <t>Net Reduction</t>
  </si>
  <si>
    <r>
      <t>Re</t>
    </r>
    <r>
      <rPr>
        <vertAlign val="subscript"/>
        <sz val="11"/>
        <color theme="1"/>
        <rFont val="Calibri"/>
        <family val="2"/>
        <scheme val="minor"/>
      </rPr>
      <t>V</t>
    </r>
  </si>
  <si>
    <r>
      <t>T</t>
    </r>
    <r>
      <rPr>
        <vertAlign val="subscript"/>
        <sz val="11"/>
        <color theme="1"/>
        <rFont val="Calibri"/>
        <family val="2"/>
        <scheme val="minor"/>
      </rPr>
      <t>V</t>
    </r>
    <r>
      <rPr>
        <sz val="11"/>
        <color theme="1"/>
        <rFont val="Calibri"/>
        <family val="2"/>
        <scheme val="minor"/>
      </rPr>
      <t xml:space="preserve"> Required (ac-ft)</t>
    </r>
  </si>
  <si>
    <r>
      <t>T</t>
    </r>
    <r>
      <rPr>
        <vertAlign val="subscript"/>
        <sz val="11"/>
        <color theme="1"/>
        <rFont val="Calibri"/>
        <family val="2"/>
        <scheme val="minor"/>
      </rPr>
      <t>V</t>
    </r>
    <r>
      <rPr>
        <sz val="11"/>
        <color theme="1"/>
        <rFont val="Calibri"/>
        <family val="2"/>
        <scheme val="minor"/>
      </rPr>
      <t xml:space="preserve"> Remaining (ac-ft)</t>
    </r>
  </si>
  <si>
    <r>
      <t>Q</t>
    </r>
    <r>
      <rPr>
        <b/>
        <vertAlign val="subscript"/>
        <sz val="11"/>
        <rFont val="Calibri"/>
        <family val="2"/>
        <scheme val="minor"/>
      </rPr>
      <t>P10</t>
    </r>
  </si>
  <si>
    <r>
      <t>Q</t>
    </r>
    <r>
      <rPr>
        <b/>
        <vertAlign val="subscript"/>
        <sz val="11"/>
        <rFont val="Calibri"/>
        <family val="2"/>
        <scheme val="minor"/>
      </rPr>
      <t>P100</t>
    </r>
  </si>
  <si>
    <t>Re-development</t>
  </si>
  <si>
    <t>Post Development Land Use (acres)</t>
  </si>
  <si>
    <t>SN1</t>
  </si>
  <si>
    <t>SN2</t>
  </si>
  <si>
    <t>SN3</t>
  </si>
  <si>
    <t>SN4</t>
  </si>
  <si>
    <t xml:space="preserve">Pavement, Roofs, and other impervious </t>
  </si>
  <si>
    <t>Instructions</t>
  </si>
  <si>
    <t>Existing</t>
  </si>
  <si>
    <t>Redeveloped</t>
  </si>
  <si>
    <t>New</t>
  </si>
  <si>
    <t>Impervious</t>
  </si>
  <si>
    <t>Site Area</t>
  </si>
  <si>
    <t>Recharge</t>
  </si>
  <si>
    <t>Water Quality</t>
  </si>
  <si>
    <t>STP</t>
  </si>
  <si>
    <t>Tier</t>
  </si>
  <si>
    <t>Tier 2</t>
  </si>
  <si>
    <t>Tier 3</t>
  </si>
  <si>
    <t>Justification Required</t>
  </si>
  <si>
    <t>Standard met?</t>
  </si>
  <si>
    <t>Required</t>
  </si>
  <si>
    <t>Provided</t>
  </si>
  <si>
    <t>must be filled out by the designer</t>
  </si>
  <si>
    <t>Grey boxes</t>
  </si>
  <si>
    <r>
      <t>WQ</t>
    </r>
    <r>
      <rPr>
        <vertAlign val="subscript"/>
        <sz val="11"/>
        <color theme="1"/>
        <rFont val="Calibri"/>
        <family val="2"/>
        <scheme val="minor"/>
      </rPr>
      <t>V</t>
    </r>
    <r>
      <rPr>
        <sz val="11"/>
        <color theme="1"/>
        <rFont val="Calibri"/>
        <family val="2"/>
        <scheme val="minor"/>
      </rPr>
      <t xml:space="preserve"> Provided (ac-ft)</t>
    </r>
  </si>
  <si>
    <r>
      <t>CN</t>
    </r>
    <r>
      <rPr>
        <vertAlign val="subscript"/>
        <sz val="11"/>
        <color theme="1"/>
        <rFont val="Calibri"/>
        <family val="2"/>
        <scheme val="minor"/>
      </rPr>
      <t>Adj</t>
    </r>
    <r>
      <rPr>
        <sz val="11"/>
        <color theme="1"/>
        <rFont val="Calibri"/>
        <family val="2"/>
        <scheme val="minor"/>
      </rPr>
      <t xml:space="preserve"> in Tc is currently restricted to 50-95, consistent with NEH, Part 630.  If the CN</t>
    </r>
    <r>
      <rPr>
        <vertAlign val="subscript"/>
        <sz val="11"/>
        <color theme="1"/>
        <rFont val="Calibri"/>
        <family val="2"/>
        <scheme val="minor"/>
      </rPr>
      <t>Adj</t>
    </r>
    <r>
      <rPr>
        <sz val="11"/>
        <color theme="1"/>
        <rFont val="Calibri"/>
        <family val="2"/>
        <scheme val="minor"/>
      </rPr>
      <t xml:space="preserve"> falls outside this range, the outer bound of the range is used.</t>
    </r>
  </si>
  <si>
    <r>
      <t>WQ</t>
    </r>
    <r>
      <rPr>
        <vertAlign val="subscript"/>
        <sz val="11"/>
        <color theme="1"/>
        <rFont val="Calibri"/>
        <family val="2"/>
        <scheme val="minor"/>
      </rPr>
      <t>V</t>
    </r>
    <r>
      <rPr>
        <sz val="11"/>
        <color theme="1"/>
        <rFont val="Calibri"/>
        <family val="2"/>
        <scheme val="minor"/>
      </rPr>
      <t xml:space="preserve"> to be met with Tier 2 and/or Tier 3 practices</t>
    </r>
  </si>
  <si>
    <t>OR</t>
  </si>
  <si>
    <t>Extended Detention STP:</t>
  </si>
  <si>
    <t>Site Summary</t>
  </si>
  <si>
    <r>
      <t>Total WQ</t>
    </r>
    <r>
      <rPr>
        <vertAlign val="subscript"/>
        <sz val="11"/>
        <color theme="1"/>
        <rFont val="Calibri"/>
        <family val="2"/>
        <scheme val="minor"/>
      </rPr>
      <t xml:space="preserve">V </t>
    </r>
    <r>
      <rPr>
        <sz val="11"/>
        <color theme="1"/>
        <rFont val="Calibri"/>
        <family val="2"/>
        <scheme val="minor"/>
      </rPr>
      <t>Provided (ac-ft)</t>
    </r>
  </si>
  <si>
    <t>SN5</t>
  </si>
  <si>
    <t>SN6</t>
  </si>
  <si>
    <t>SN7</t>
  </si>
  <si>
    <t>SN8</t>
  </si>
  <si>
    <t>SN9</t>
  </si>
  <si>
    <t>All Redevelopment</t>
  </si>
  <si>
    <t>Tier 2 &amp; 3 Water Quality Practice</t>
  </si>
  <si>
    <t>Downstream analysis</t>
  </si>
  <si>
    <t>Hotspot land use</t>
  </si>
  <si>
    <t>Minimum WQ depth</t>
  </si>
  <si>
    <t>Yes</t>
  </si>
  <si>
    <t>No</t>
  </si>
  <si>
    <r>
      <t>T</t>
    </r>
    <r>
      <rPr>
        <vertAlign val="subscript"/>
        <sz val="11"/>
        <color theme="1"/>
        <rFont val="Calibri"/>
        <family val="2"/>
        <scheme val="minor"/>
      </rPr>
      <t>V</t>
    </r>
    <r>
      <rPr>
        <sz val="11"/>
        <color theme="1"/>
        <rFont val="Calibri"/>
        <family val="2"/>
        <scheme val="minor"/>
      </rPr>
      <t xml:space="preserve"> (ac-ft)</t>
    </r>
  </si>
  <si>
    <t xml:space="preserve"> Recharge Notes:</t>
  </si>
  <si>
    <t>Water Quality Notes:</t>
  </si>
  <si>
    <t>Channel Protection Notes:</t>
  </si>
  <si>
    <t>Overbank Flood Notes:</t>
  </si>
  <si>
    <t>Extreme Flood Notes:</t>
  </si>
  <si>
    <t>Latitude (decimal degrees to five decimal places)</t>
  </si>
  <si>
    <t>Blue boxes</t>
  </si>
  <si>
    <t>Yellow boxes</t>
  </si>
  <si>
    <t>may be filled out by the designer, but are optional</t>
  </si>
  <si>
    <t>Project Name</t>
  </si>
  <si>
    <t>Longitude  (decimal degrees to five decimal places)</t>
  </si>
  <si>
    <t>contain values calculated from the information entered in the blue boxes</t>
  </si>
  <si>
    <t>If you have questions regarding the completion of the workbook, contact the stormwater program:</t>
  </si>
  <si>
    <t>Stormwater Technical Reviewers</t>
  </si>
  <si>
    <t>Channel Protection</t>
  </si>
  <si>
    <r>
      <t>The Alternative Extended Detention Method (</t>
    </r>
    <r>
      <rPr>
        <sz val="11"/>
        <color theme="1"/>
        <rFont val="Calibri"/>
        <family val="2"/>
      </rPr>
      <t xml:space="preserve">§2.2.5.4) </t>
    </r>
    <r>
      <rPr>
        <sz val="11"/>
        <color theme="1"/>
        <rFont val="Calibri"/>
        <family val="2"/>
        <scheme val="minor"/>
      </rPr>
      <t>is being used.</t>
    </r>
  </si>
  <si>
    <t>Method</t>
  </si>
  <si>
    <t>Overbank Flood Protection</t>
  </si>
  <si>
    <t>Notes</t>
  </si>
  <si>
    <t>Printing/PDF Instructions</t>
  </si>
  <si>
    <t>Waiver</t>
  </si>
  <si>
    <t>Waiver Name</t>
  </si>
  <si>
    <t>Short Name</t>
  </si>
  <si>
    <t>&lt;2 cfs</t>
  </si>
  <si>
    <t>&lt;2cfs</t>
  </si>
  <si>
    <t>Re-dev</t>
  </si>
  <si>
    <t>≥10 sq mi</t>
  </si>
  <si>
    <t>Down-stream Analysis</t>
  </si>
  <si>
    <t>&lt; 10 ac impervious</t>
  </si>
  <si>
    <t>Extreme Flood Protection</t>
  </si>
  <si>
    <t>Pre-Dev Q (cfs)</t>
  </si>
  <si>
    <t>Routed, Post-Dev Q (cfs)</t>
  </si>
  <si>
    <t>In order to select specific tabs of this worksheet to print or save as a pdf, hold down control while clicking on the desired tabs. The summary tab and any discharge points used in the project must be included with the permit application.</t>
  </si>
  <si>
    <t>Notes:</t>
  </si>
  <si>
    <t>The name above will appear on all the discharge point tabs</t>
  </si>
  <si>
    <t>Net Reduced Impervious</t>
  </si>
  <si>
    <r>
      <t>Is the WQ</t>
    </r>
    <r>
      <rPr>
        <vertAlign val="subscript"/>
        <sz val="11"/>
        <color theme="1"/>
        <rFont val="Calibri"/>
        <family val="2"/>
        <scheme val="minor"/>
      </rPr>
      <t>V</t>
    </r>
    <r>
      <rPr>
        <sz val="11"/>
        <color theme="1"/>
        <rFont val="Calibri"/>
        <family val="2"/>
        <scheme val="minor"/>
      </rPr>
      <t xml:space="preserve"> Standard met?</t>
    </r>
  </si>
  <si>
    <r>
      <t>WQ</t>
    </r>
    <r>
      <rPr>
        <vertAlign val="subscript"/>
        <sz val="11"/>
        <color theme="1"/>
        <rFont val="Calibri"/>
        <family val="2"/>
        <scheme val="minor"/>
      </rPr>
      <t>V</t>
    </r>
    <r>
      <rPr>
        <sz val="11"/>
        <color theme="1"/>
        <rFont val="Calibri"/>
        <family val="2"/>
        <scheme val="minor"/>
      </rPr>
      <t xml:space="preserve"> met with Tier 1 practices</t>
    </r>
  </si>
  <si>
    <t>This workbook is protected so that the user can only edit blue and yellow boxes.</t>
  </si>
  <si>
    <t>General Notes</t>
  </si>
  <si>
    <t>Disconnection to FS/VB</t>
  </si>
  <si>
    <t xml:space="preserve">Reforestation </t>
  </si>
  <si>
    <t>Is all impervious treated by disconnection?</t>
  </si>
  <si>
    <r>
      <rPr>
        <i/>
        <u/>
        <sz val="10"/>
        <color theme="1"/>
        <rFont val="Calibri"/>
        <family val="2"/>
        <scheme val="minor"/>
      </rPr>
      <t>Modeling Info:</t>
    </r>
    <r>
      <rPr>
        <i/>
        <sz val="10"/>
        <color theme="1"/>
        <rFont val="Calibri"/>
        <family val="2"/>
        <scheme val="minor"/>
      </rPr>
      <t xml:space="preserve"> When demonstrating CP compliance with extended detention in a hydrologic model, use the CN and T</t>
    </r>
    <r>
      <rPr>
        <i/>
        <vertAlign val="subscript"/>
        <sz val="10"/>
        <color theme="1"/>
        <rFont val="Calibri"/>
        <family val="2"/>
        <scheme val="minor"/>
      </rPr>
      <t>C</t>
    </r>
    <r>
      <rPr>
        <i/>
        <sz val="10"/>
        <color theme="1"/>
        <rFont val="Calibri"/>
        <family val="2"/>
        <scheme val="minor"/>
      </rPr>
      <t xml:space="preserve"> below if the practice being modelled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</si>
  <si>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 xml:space="preserve">P10 </t>
    </r>
    <r>
      <rPr>
        <i/>
        <sz val="10"/>
        <color theme="1"/>
        <rFont val="Calibri"/>
        <family val="2"/>
        <scheme val="minor"/>
      </rPr>
      <t>is not itself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</si>
  <si>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Bioretention (infiltrating)</t>
  </si>
  <si>
    <t>Bioretention (not designed to infiltrate)</t>
  </si>
  <si>
    <r>
      <t>List all Tier 1 practices below with the associated treatment volume (T</t>
    </r>
    <r>
      <rPr>
        <i/>
        <vertAlign val="subscript"/>
        <sz val="10"/>
        <color theme="1"/>
        <rFont val="Calibri"/>
        <family val="2"/>
        <scheme val="minor"/>
      </rPr>
      <t>V</t>
    </r>
    <r>
      <rPr>
        <i/>
        <sz val="10"/>
        <color theme="1"/>
        <rFont val="Calibri"/>
        <family val="2"/>
        <scheme val="minor"/>
      </rPr>
      <t>).  The T</t>
    </r>
    <r>
      <rPr>
        <i/>
        <vertAlign val="subscript"/>
        <sz val="10"/>
        <color theme="1"/>
        <rFont val="Calibri"/>
        <family val="2"/>
        <scheme val="minor"/>
      </rPr>
      <t>V</t>
    </r>
    <r>
      <rPr>
        <i/>
        <sz val="10"/>
        <color theme="1"/>
        <rFont val="Calibri"/>
        <family val="2"/>
        <scheme val="minor"/>
      </rPr>
      <t xml:space="preserve"> will be applied to all treatment standards, except for Green Roofs, which do not receive recharge or water quality credit. Please include the appropriate STP worksheet(s) with the application.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</si>
  <si>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P100</t>
    </r>
    <r>
      <rPr>
        <i/>
        <sz val="10"/>
        <color theme="1"/>
        <rFont val="Calibri"/>
        <family val="2"/>
        <scheme val="minor"/>
      </rPr>
      <t xml:space="preserve">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runoff reduction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</si>
  <si>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Pre Development</t>
  </si>
  <si>
    <t>Post Development</t>
  </si>
  <si>
    <t>Hydraulic Length, l (ft)</t>
  </si>
  <si>
    <t>Average Catchment Slope, Y (%)</t>
  </si>
  <si>
    <t>Total Impervious for Permit Coverage</t>
  </si>
  <si>
    <r>
      <t>WQ</t>
    </r>
    <r>
      <rPr>
        <vertAlign val="subscript"/>
        <sz val="11"/>
        <color theme="1"/>
        <rFont val="Calibri"/>
        <family val="2"/>
        <scheme val="minor"/>
      </rPr>
      <t>V</t>
    </r>
    <r>
      <rPr>
        <sz val="11"/>
        <color theme="1"/>
        <rFont val="Calibri"/>
        <family val="2"/>
        <scheme val="minor"/>
      </rPr>
      <t xml:space="preserve"> - New &amp; Existing</t>
    </r>
  </si>
  <si>
    <r>
      <t>WQ</t>
    </r>
    <r>
      <rPr>
        <vertAlign val="subscript"/>
        <sz val="11"/>
        <color theme="1"/>
        <rFont val="Calibri"/>
        <family val="2"/>
        <scheme val="minor"/>
      </rPr>
      <t>V -</t>
    </r>
    <r>
      <rPr>
        <sz val="11"/>
        <color theme="1"/>
        <rFont val="Calibri"/>
        <family val="2"/>
        <scheme val="minor"/>
      </rPr>
      <t xml:space="preserve"> Redevelopment</t>
    </r>
  </si>
  <si>
    <r>
      <t>Post Development T</t>
    </r>
    <r>
      <rPr>
        <vertAlign val="subscript"/>
        <sz val="11"/>
        <color theme="1"/>
        <rFont val="Calibri"/>
        <family val="2"/>
        <scheme val="minor"/>
      </rPr>
      <t xml:space="preserve">C </t>
    </r>
    <r>
      <rPr>
        <sz val="11"/>
        <color theme="1"/>
        <rFont val="Calibri"/>
        <family val="2"/>
        <scheme val="minor"/>
      </rPr>
      <t>(min)</t>
    </r>
  </si>
  <si>
    <t xml:space="preserve"> Pre-Development CN (Flow-weighted composite)</t>
  </si>
  <si>
    <r>
      <t>Pre Development T</t>
    </r>
    <r>
      <rPr>
        <vertAlign val="subscript"/>
        <sz val="10"/>
        <color theme="1"/>
        <rFont val="Calibri"/>
        <family val="2"/>
        <scheme val="minor"/>
      </rPr>
      <t>C</t>
    </r>
    <r>
      <rPr>
        <sz val="10"/>
        <color theme="1"/>
        <rFont val="Calibri"/>
        <family val="2"/>
        <scheme val="minor"/>
      </rPr>
      <t xml:space="preserve"> (min)</t>
    </r>
  </si>
  <si>
    <r>
      <t>A minimum WQ</t>
    </r>
    <r>
      <rPr>
        <i/>
        <vertAlign val="subscript"/>
        <sz val="10"/>
        <color theme="1"/>
        <rFont val="Calibri"/>
        <family val="2"/>
        <scheme val="minor"/>
      </rPr>
      <t>V</t>
    </r>
    <r>
      <rPr>
        <i/>
        <sz val="10"/>
        <color theme="1"/>
        <rFont val="Calibri"/>
        <family val="2"/>
        <scheme val="minor"/>
      </rPr>
      <t xml:space="preserve"> of 0.2" (P*R</t>
    </r>
    <r>
      <rPr>
        <i/>
        <vertAlign val="subscript"/>
        <sz val="10"/>
        <color theme="1"/>
        <rFont val="Calibri"/>
        <family val="2"/>
        <scheme val="minor"/>
      </rPr>
      <t>V</t>
    </r>
    <r>
      <rPr>
        <i/>
        <sz val="10"/>
        <color theme="1"/>
        <rFont val="Calibri"/>
        <family val="2"/>
        <scheme val="minor"/>
      </rPr>
      <t>) is required for sites with low impervious (&lt;16.67%).  This calculation has not been incorporated into this workbook. Designers should check that the minimum WQ</t>
    </r>
    <r>
      <rPr>
        <i/>
        <vertAlign val="subscript"/>
        <sz val="10"/>
        <color theme="1"/>
        <rFont val="Calibri"/>
        <family val="2"/>
        <scheme val="minor"/>
      </rPr>
      <t>V</t>
    </r>
    <r>
      <rPr>
        <i/>
        <sz val="10"/>
        <color theme="1"/>
        <rFont val="Calibri"/>
        <family val="2"/>
        <scheme val="minor"/>
      </rPr>
      <t xml:space="preserve"> has been met for their site.</t>
    </r>
  </si>
  <si>
    <t>Standard Applies?</t>
  </si>
  <si>
    <r>
      <t>T</t>
    </r>
    <r>
      <rPr>
        <vertAlign val="subscript"/>
        <sz val="11"/>
        <color theme="1"/>
        <rFont val="Calibri"/>
        <family val="2"/>
        <scheme val="minor"/>
      </rPr>
      <t>V</t>
    </r>
    <r>
      <rPr>
        <sz val="11"/>
        <color theme="1"/>
        <rFont val="Calibri"/>
        <family val="2"/>
        <scheme val="minor"/>
      </rPr>
      <t xml:space="preserve"> Provided</t>
    </r>
  </si>
  <si>
    <r>
      <t>HC</t>
    </r>
    <r>
      <rPr>
        <vertAlign val="subscript"/>
        <sz val="11"/>
        <color theme="1"/>
        <rFont val="Calibri"/>
        <family val="2"/>
        <scheme val="minor"/>
      </rPr>
      <t>V</t>
    </r>
    <r>
      <rPr>
        <sz val="11"/>
        <color theme="1"/>
        <rFont val="Calibri"/>
        <family val="2"/>
        <scheme val="minor"/>
      </rPr>
      <t xml:space="preserve"> </t>
    </r>
  </si>
  <si>
    <t>Do not fill this tab out, apart from the project name and notes.  It will auto-populated based on the values on the discharge point tabs. Discharge points (SN) will only show on the summary if an area has been entered on that tab. Areas listed below are those seeking permit coverage.</t>
  </si>
  <si>
    <t>Latitude</t>
  </si>
  <si>
    <t>Longitude</t>
  </si>
  <si>
    <t>(ac-ft)</t>
  </si>
  <si>
    <t>% Removed Existing Impervious (Redevelopment)</t>
  </si>
  <si>
    <t>% Net Reduction</t>
  </si>
  <si>
    <t>Apply Reduction?</t>
  </si>
  <si>
    <t xml:space="preserve">Designers working on a projects with more discharge points should contact their district reviewer. If your project contains fewer discharge points, unneeded tabs may be deleted, but cannot be added back. Excess tabs can also be hidden by right-clicking on the tab label and selecting "hide". </t>
  </si>
  <si>
    <t xml:space="preserve">This workbook is designed to guide you through how to calculate and demonstrate compliance the standards in the 2017 Vermont State Stormwater Manual. Before filling this workbook, you should always refer to the Stormwater Program homepage to ensure that you are using the most recent application materials. </t>
  </si>
  <si>
    <t>Vermont Stormwater Application Materials webpage</t>
  </si>
  <si>
    <r>
      <t>This workbook is comprised of a "Summary" tab and several discharge point tabs labelled SN1, SN2, etc. Fill out one tab for each discharge point in your project. This workbook will be supported by sizing calculations and treatment volume (T</t>
    </r>
    <r>
      <rPr>
        <vertAlign val="subscript"/>
        <sz val="11"/>
        <color theme="1"/>
        <rFont val="Calibri"/>
        <family val="2"/>
        <scheme val="minor"/>
      </rPr>
      <t>V</t>
    </r>
    <r>
      <rPr>
        <sz val="11"/>
        <color theme="1"/>
        <rFont val="Calibri"/>
        <family val="2"/>
        <scheme val="minor"/>
      </rPr>
      <t>) information completed via specific STP worksheets that must also be completed for each practice. The Summary tab provides an overview of how the standards are met across discharge points.</t>
    </r>
  </si>
  <si>
    <r>
      <t xml:space="preserve">This workbook is designed to work with up to nine (9) discharge points or points of interest (POI) which come preloaded. </t>
    </r>
    <r>
      <rPr>
        <b/>
        <sz val="11"/>
        <color theme="1"/>
        <rFont val="Calibri"/>
        <family val="2"/>
        <scheme val="minor"/>
      </rPr>
      <t xml:space="preserve">Changing Discharge Point Names: </t>
    </r>
    <r>
      <rPr>
        <sz val="11"/>
        <color theme="1"/>
        <rFont val="Calibri"/>
        <family val="2"/>
        <scheme val="minor"/>
      </rPr>
      <t xml:space="preserve">If discharge points need to be renamed,  the user must change both the label in line 5 of the summary tab AND the tab label in order for the summary tab to be able to pull data from the right sheet. </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</si>
  <si>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</si>
  <si>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 xml:space="preserve">New Impervious </t>
  </si>
  <si>
    <t>Existing for Permit Coverage (Treated to New Standards)</t>
  </si>
  <si>
    <t>Reduced Existing Impervious (for redevelopment)</t>
  </si>
  <si>
    <t xml:space="preserve">% </t>
  </si>
  <si>
    <t>Existing Impervious Not for Permit Coverage</t>
  </si>
  <si>
    <t>Impervious previously authorized under 2002 VSMM</t>
  </si>
  <si>
    <t>Impervious previously authorized under 2002 VSMM (not included in calculations)</t>
  </si>
  <si>
    <t>Total Pre Site Area</t>
  </si>
  <si>
    <t>Existing Impervious</t>
  </si>
  <si>
    <t>Previously Authorized</t>
  </si>
  <si>
    <t>Receiving Water</t>
  </si>
  <si>
    <t>High Density Residential Example</t>
  </si>
  <si>
    <t>Wetland Tributary to the Winooski River</t>
  </si>
  <si>
    <t>Bioretention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</si>
</sst>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
    <numFmt numFmtId="168" formatCode="0.0000"/>
  </numFmts>
  <fonts count="45" x14ac:knownFonts="1">
    <font>
      <sz val="11"/>
      <color theme="1"/>
      <name val="Calibri"/>
      <family val="2"/>
      <scheme val="minor"/>
    </font>
    <font>
      <sz val="11"/>
      <color rgb="FF3F3F76"/>
      <name val="Calibri"/>
      <family val="2"/>
      <scheme val="minor"/>
    </font>
    <font>
      <b/>
      <sz val="11"/>
      <color rgb="FF3F3F3F"/>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u/>
      <sz val="11"/>
      <color theme="10"/>
      <name val="Calibri"/>
      <family val="2"/>
      <scheme val="minor"/>
    </font>
    <font>
      <b/>
      <sz val="11"/>
      <color theme="1" tint="0.499984740745262"/>
      <name val="Calibri"/>
      <family val="2"/>
      <scheme val="minor"/>
    </font>
    <font>
      <sz val="11"/>
      <color theme="1"/>
      <name val="Calibri"/>
      <family val="2"/>
    </font>
    <font>
      <sz val="11"/>
      <name val="Calibri"/>
      <family val="2"/>
      <scheme val="minor"/>
    </font>
    <font>
      <sz val="11"/>
      <color rgb="FFFF0000"/>
      <name val="Calibri"/>
      <family val="2"/>
      <scheme val="minor"/>
    </font>
    <font>
      <sz val="11"/>
      <color theme="1"/>
      <name val="Calibri"/>
      <family val="2"/>
      <scheme val="minor"/>
    </font>
    <font>
      <sz val="11"/>
      <color theme="0"/>
      <name val="Calibri"/>
      <family val="2"/>
      <scheme val="minor"/>
    </font>
    <font>
      <b/>
      <sz val="11"/>
      <name val="Calibri"/>
      <family val="2"/>
      <scheme val="minor"/>
    </font>
    <font>
      <sz val="8"/>
      <color rgb="FF000000"/>
      <name val="Segoe UI"/>
      <family val="2"/>
    </font>
    <font>
      <sz val="18"/>
      <color theme="1"/>
      <name val="Calibri"/>
      <family val="2"/>
    </font>
    <font>
      <b/>
      <vertAlign val="subscript"/>
      <sz val="12"/>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i/>
      <u/>
      <sz val="10"/>
      <color theme="1"/>
      <name val="Calibri"/>
      <family val="2"/>
      <scheme val="minor"/>
    </font>
    <font>
      <i/>
      <vertAlign val="subscript"/>
      <sz val="10"/>
      <color theme="1"/>
      <name val="Calibri"/>
      <family val="2"/>
      <scheme val="minor"/>
    </font>
    <font>
      <b/>
      <vertAlign val="subscript"/>
      <sz val="11"/>
      <name val="Calibri"/>
      <family val="2"/>
      <scheme val="minor"/>
    </font>
    <font>
      <i/>
      <sz val="11"/>
      <color theme="3"/>
      <name val="Calibri"/>
      <family val="2"/>
      <scheme val="minor"/>
    </font>
    <font>
      <sz val="8"/>
      <color theme="1"/>
      <name val="Calibri"/>
      <family val="2"/>
      <scheme val="minor"/>
    </font>
    <font>
      <sz val="10"/>
      <color theme="1"/>
      <name val="Calibri"/>
      <family val="2"/>
      <scheme val="minor"/>
    </font>
    <font>
      <vertAlign val="subscript"/>
      <sz val="10"/>
      <color theme="1"/>
      <name val="Calibri"/>
      <family val="2"/>
      <scheme val="minor"/>
    </font>
    <font>
      <sz val="11"/>
      <color rgb="FFCC0000"/>
      <name val="Calibri"/>
      <family val="2"/>
      <scheme val="minor"/>
    </font>
    <font>
      <sz val="9.5"/>
      <color theme="1"/>
      <name val="Calibri"/>
      <family val="2"/>
      <scheme val="minor"/>
    </font>
    <font>
      <sz val="9.5"/>
      <name val="Calibri"/>
      <family val="2"/>
      <scheme val="minor"/>
    </font>
    <font>
      <b/>
      <sz val="12"/>
      <color theme="1"/>
      <name val="Calibri"/>
      <family val="2"/>
      <scheme val="minor"/>
    </font>
    <font>
      <sz val="11"/>
      <color theme="1"/>
      <name val="Calibri"/>
      <family val="2"/>
      <scheme val="minor"/>
    </font>
    <font>
      <b/>
      <sz val="11"/>
      <color rgb="FF3F3F3F"/>
      <name val="Calibri"/>
      <family val="2"/>
      <scheme val="minor"/>
    </font>
    <font>
      <u/>
      <sz val="11"/>
      <color theme="10"/>
      <name val="Calibri"/>
      <family val="2"/>
      <scheme val="minor"/>
    </font>
    <font>
      <b/>
      <u/>
      <sz val="11"/>
      <name val="Calibri"/>
      <family val="2"/>
      <scheme val="minor"/>
    </font>
    <font>
      <sz val="11"/>
      <name val="Calibri"/>
      <family val="2"/>
      <scheme val="minor"/>
    </font>
    <font>
      <b/>
      <u/>
      <sz val="11"/>
      <color theme="1"/>
      <name val="Calibri"/>
      <family val="2"/>
      <scheme val="minor"/>
    </font>
    <font>
      <sz val="9"/>
      <color theme="3"/>
      <name val="Calibri"/>
      <family val="2"/>
      <scheme val="minor"/>
    </font>
    <font>
      <b/>
      <sz val="11"/>
      <color rgb="FFC00000"/>
      <name val="Calibri"/>
      <family val="2"/>
      <scheme val="minor"/>
    </font>
    <font>
      <b/>
      <sz val="12"/>
      <color theme="1" tint="0.249977111117893"/>
      <name val="Calibri"/>
      <family val="2"/>
      <scheme val="minor"/>
    </font>
    <font>
      <sz val="9"/>
      <color indexed="81"/>
      <name val="Tahoma"/>
      <family val="2"/>
    </font>
    <font>
      <i/>
      <sz val="11"/>
      <color rgb="FFC00000"/>
      <name val="Calibri"/>
      <family val="2"/>
      <scheme val="minor"/>
    </font>
    <font>
      <sz val="9"/>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rgb="FFFDF7D9"/>
        <bgColor indexed="64"/>
      </patternFill>
    </fill>
    <fill>
      <patternFill patternType="solid">
        <fgColor rgb="FFFCF7D9"/>
        <bgColor indexed="64"/>
      </patternFill>
    </fill>
    <fill>
      <patternFill patternType="solid">
        <fgColor theme="0" tint="-4.9989318521683403E-2"/>
        <bgColor indexed="64"/>
      </patternFill>
    </fill>
    <fill>
      <patternFill patternType="lightUp">
        <fgColor theme="0" tint="-0.499984740745262"/>
        <bgColor indexed="65"/>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rgb="FF3F3F3F"/>
      </top>
      <bottom/>
      <diagonal/>
    </border>
    <border>
      <left/>
      <right style="thin">
        <color rgb="FF3F3F3F"/>
      </right>
      <top/>
      <bottom/>
      <diagonal/>
    </border>
    <border>
      <left style="double">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3F3F3F"/>
      </top>
      <bottom style="thin">
        <color rgb="FF3F3F3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3F3F3F"/>
      </left>
      <right/>
      <top/>
      <bottom style="thin">
        <color indexed="64"/>
      </bottom>
      <diagonal/>
    </border>
    <border>
      <left/>
      <right style="thin">
        <color rgb="FF3F3F3F"/>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8" fillId="0" borderId="0" applyNumberFormat="0" applyFill="0" applyBorder="0" applyAlignment="0" applyProtection="0"/>
    <xf numFmtId="9" fontId="13" fillId="0" borderId="0" applyFont="0" applyFill="0" applyBorder="0" applyAlignment="0" applyProtection="0"/>
  </cellStyleXfs>
  <cellXfs count="430">
    <xf numFmtId="0" fontId="0" fillId="0" borderId="0" xfId="0"/>
    <xf numFmtId="0" fontId="0" fillId="0" borderId="0" xfId="0" applyFill="1"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0" fillId="0" borderId="3" xfId="0" applyFill="1" applyBorder="1" applyAlignment="1">
      <alignment horizontal="right"/>
    </xf>
    <xf numFmtId="0" fontId="0" fillId="0" borderId="0" xfId="0"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3" xfId="0"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Border="1"/>
    <xf numFmtId="0" fontId="0" fillId="0" borderId="11" xfId="0" applyBorder="1"/>
    <xf numFmtId="49" fontId="6" fillId="0" borderId="0" xfId="0" applyNumberFormat="1" applyFont="1" applyBorder="1" applyAlignment="1">
      <alignment horizontal="right"/>
    </xf>
    <xf numFmtId="0" fontId="0" fillId="0" borderId="12" xfId="0" applyBorder="1"/>
    <xf numFmtId="0" fontId="0" fillId="0" borderId="13" xfId="0" applyBorder="1"/>
    <xf numFmtId="0" fontId="0" fillId="0" borderId="3" xfId="0" applyBorder="1" applyAlignment="1">
      <alignment horizontal="right" wrapText="1"/>
    </xf>
    <xf numFmtId="0" fontId="0" fillId="0" borderId="0" xfId="0" applyFill="1" applyBorder="1"/>
    <xf numFmtId="0" fontId="0" fillId="0" borderId="0" xfId="0" applyBorder="1" applyAlignment="1">
      <alignment horizontal="right"/>
    </xf>
    <xf numFmtId="0" fontId="7" fillId="0" borderId="0" xfId="0" applyFont="1" applyBorder="1" applyAlignment="1">
      <alignment horizontal="center"/>
    </xf>
    <xf numFmtId="0" fontId="0" fillId="0" borderId="0" xfId="0" applyBorder="1" applyAlignment="1">
      <alignment horizontal="left"/>
    </xf>
    <xf numFmtId="0" fontId="7" fillId="0" borderId="0" xfId="0" applyFont="1" applyBorder="1"/>
    <xf numFmtId="0" fontId="3" fillId="0" borderId="0" xfId="0" applyFont="1" applyBorder="1"/>
    <xf numFmtId="165" fontId="2" fillId="0" borderId="0" xfId="2" applyNumberFormat="1" applyFill="1" applyBorder="1" applyAlignment="1">
      <alignment horizontal="center" vertical="center"/>
    </xf>
    <xf numFmtId="1" fontId="2" fillId="3" borderId="16" xfId="2" applyNumberFormat="1" applyBorder="1" applyAlignment="1">
      <alignment horizontal="center"/>
    </xf>
    <xf numFmtId="165" fontId="2" fillId="0" borderId="3" xfId="2" applyNumberFormat="1" applyFill="1" applyBorder="1" applyAlignment="1">
      <alignment horizontal="center" vertical="center" wrapText="1"/>
    </xf>
    <xf numFmtId="1" fontId="2" fillId="3" borderId="3" xfId="2" applyNumberFormat="1" applyBorder="1" applyAlignment="1">
      <alignment horizontal="center"/>
    </xf>
    <xf numFmtId="165" fontId="9" fillId="4" borderId="3" xfId="2" applyNumberFormat="1" applyFont="1" applyFill="1" applyBorder="1" applyAlignment="1">
      <alignment horizontal="center" vertical="center"/>
    </xf>
    <xf numFmtId="166" fontId="9" fillId="4" borderId="16" xfId="2" applyNumberFormat="1" applyFont="1" applyFill="1" applyBorder="1" applyAlignment="1">
      <alignment horizontal="center"/>
    </xf>
    <xf numFmtId="0" fontId="0" fillId="0" borderId="0" xfId="0" applyBorder="1" applyAlignment="1">
      <alignment horizontal="right" vertical="center" wrapText="1"/>
    </xf>
    <xf numFmtId="0" fontId="7" fillId="0" borderId="0" xfId="0" applyFont="1" applyBorder="1" applyAlignment="1"/>
    <xf numFmtId="165" fontId="2" fillId="0" borderId="0" xfId="2" applyNumberFormat="1" applyFill="1" applyBorder="1"/>
    <xf numFmtId="165" fontId="0" fillId="0" borderId="0" xfId="0" applyNumberFormat="1" applyFill="1" applyBorder="1"/>
    <xf numFmtId="0" fontId="0" fillId="0" borderId="3" xfId="0" applyFill="1" applyBorder="1" applyAlignment="1">
      <alignment horizontal="left"/>
    </xf>
    <xf numFmtId="0" fontId="0" fillId="0" borderId="3" xfId="0" applyFill="1" applyBorder="1"/>
    <xf numFmtId="0" fontId="0" fillId="5" borderId="3" xfId="0" applyFill="1" applyBorder="1"/>
    <xf numFmtId="0" fontId="0" fillId="5" borderId="3" xfId="0" applyFont="1" applyFill="1" applyBorder="1" applyAlignment="1">
      <alignment horizontal="right"/>
    </xf>
    <xf numFmtId="0" fontId="0" fillId="5" borderId="3" xfId="0" applyFill="1" applyBorder="1" applyAlignment="1">
      <alignment horizontal="center"/>
    </xf>
    <xf numFmtId="0" fontId="0" fillId="5" borderId="3" xfId="0" applyFill="1" applyBorder="1" applyAlignment="1">
      <alignment horizontal="right"/>
    </xf>
    <xf numFmtId="0" fontId="0" fillId="0" borderId="0" xfId="0" applyAlignment="1"/>
    <xf numFmtId="0" fontId="0" fillId="0" borderId="3" xfId="0" applyFill="1" applyBorder="1" applyAlignment="1">
      <alignment wrapText="1"/>
    </xf>
    <xf numFmtId="165" fontId="2" fillId="0" borderId="0" xfId="2" applyNumberFormat="1" applyFill="1" applyBorder="1" applyAlignment="1">
      <alignment horizontal="center" vertical="center" wrapText="1"/>
    </xf>
    <xf numFmtId="0" fontId="0" fillId="0" borderId="3" xfId="0" applyBorder="1" applyAlignment="1">
      <alignment wrapText="1"/>
    </xf>
    <xf numFmtId="49" fontId="11" fillId="0" borderId="0" xfId="0" applyNumberFormat="1" applyFont="1" applyBorder="1" applyAlignment="1">
      <alignment horizontal="right"/>
    </xf>
    <xf numFmtId="49" fontId="11" fillId="0" borderId="0" xfId="0" applyNumberFormat="1" applyFont="1" applyFill="1" applyBorder="1" applyAlignment="1">
      <alignment horizontal="right"/>
    </xf>
    <xf numFmtId="0" fontId="15" fillId="0" borderId="7" xfId="0" applyFont="1" applyFill="1" applyBorder="1" applyAlignment="1">
      <alignment horizontal="center" vertical="center"/>
    </xf>
    <xf numFmtId="0" fontId="15" fillId="0" borderId="7" xfId="1" applyFont="1" applyFill="1" applyBorder="1" applyAlignment="1">
      <alignment horizontal="center" vertical="center"/>
    </xf>
    <xf numFmtId="0" fontId="0" fillId="0" borderId="0" xfId="0" applyAlignment="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0" borderId="17" xfId="0" applyBorder="1"/>
    <xf numFmtId="0" fontId="0" fillId="0" borderId="21" xfId="0" applyFill="1"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0" fontId="3" fillId="0" borderId="8" xfId="0" applyFont="1" applyBorder="1"/>
    <xf numFmtId="0" fontId="0" fillId="0" borderId="9" xfId="0" applyBorder="1"/>
    <xf numFmtId="0" fontId="0" fillId="0" borderId="10" xfId="0" applyBorder="1"/>
    <xf numFmtId="0" fontId="0" fillId="0" borderId="11" xfId="0" applyBorder="1" applyAlignment="1">
      <alignment horizontal="right" vertical="center"/>
    </xf>
    <xf numFmtId="0" fontId="0" fillId="0" borderId="22" xfId="0" applyBorder="1"/>
    <xf numFmtId="0" fontId="0" fillId="0" borderId="11" xfId="0" applyBorder="1" applyAlignment="1">
      <alignment horizontal="right" vertical="center" wrapText="1"/>
    </xf>
    <xf numFmtId="165" fontId="2" fillId="3" borderId="2" xfId="2" applyNumberForma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17" fillId="0" borderId="0" xfId="0" applyFont="1" applyBorder="1" applyAlignment="1">
      <alignment horizontal="center" vertical="center"/>
    </xf>
    <xf numFmtId="0" fontId="0" fillId="0" borderId="11" xfId="0" applyFill="1" applyBorder="1" applyAlignment="1">
      <alignment horizontal="right" vertical="center" wrapText="1"/>
    </xf>
    <xf numFmtId="0" fontId="0" fillId="0" borderId="1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0" fillId="0" borderId="23" xfId="0" applyBorder="1"/>
    <xf numFmtId="1" fontId="2" fillId="3" borderId="2" xfId="2" applyNumberFormat="1" applyBorder="1" applyAlignment="1">
      <alignment horizontal="center" vertical="center"/>
    </xf>
    <xf numFmtId="166" fontId="2" fillId="3" borderId="2" xfId="2" applyNumberForma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164" fontId="2" fillId="3" borderId="3" xfId="2" applyNumberFormat="1" applyBorder="1" applyAlignment="1">
      <alignment horizontal="center"/>
    </xf>
    <xf numFmtId="0" fontId="8" fillId="0" borderId="7" xfId="3" applyFill="1" applyBorder="1" applyAlignment="1">
      <alignment vertical="center"/>
    </xf>
    <xf numFmtId="0" fontId="3" fillId="0" borderId="8" xfId="0" applyFont="1" applyFill="1" applyBorder="1" applyAlignment="1">
      <alignment horizontal="left" vertical="center"/>
    </xf>
    <xf numFmtId="0" fontId="0" fillId="0" borderId="9" xfId="0" applyFill="1" applyBorder="1" applyAlignment="1">
      <alignment horizontal="center" vertical="center"/>
    </xf>
    <xf numFmtId="0" fontId="1" fillId="0" borderId="9" xfId="1" applyFill="1" applyBorder="1" applyAlignment="1">
      <alignment horizontal="center" vertical="center"/>
    </xf>
    <xf numFmtId="0" fontId="3" fillId="0" borderId="11" xfId="0" applyFont="1" applyFill="1" applyBorder="1" applyAlignment="1">
      <alignment horizontal="right" vertical="center"/>
    </xf>
    <xf numFmtId="0" fontId="0" fillId="0" borderId="11" xfId="0" applyFont="1" applyBorder="1" applyAlignment="1">
      <alignment horizontal="right" vertical="center"/>
    </xf>
    <xf numFmtId="166" fontId="9" fillId="4" borderId="2" xfId="2" applyNumberFormat="1" applyFont="1" applyFill="1" applyBorder="1" applyAlignment="1">
      <alignment horizontal="center"/>
    </xf>
    <xf numFmtId="1" fontId="9" fillId="4" borderId="2" xfId="2" applyNumberFormat="1" applyFont="1" applyFill="1" applyBorder="1" applyAlignment="1">
      <alignment horizontal="center"/>
    </xf>
    <xf numFmtId="1" fontId="2" fillId="3" borderId="2" xfId="2" applyNumberFormat="1" applyBorder="1" applyAlignment="1">
      <alignment horizontal="center"/>
    </xf>
    <xf numFmtId="0" fontId="0" fillId="0" borderId="9" xfId="0" applyFill="1" applyBorder="1"/>
    <xf numFmtId="0" fontId="0" fillId="0" borderId="9" xfId="0" applyFill="1" applyBorder="1" applyAlignment="1">
      <alignment horizontal="right"/>
    </xf>
    <xf numFmtId="164" fontId="2" fillId="0" borderId="9" xfId="2" applyNumberFormat="1" applyFill="1" applyBorder="1"/>
    <xf numFmtId="0" fontId="0" fillId="0" borderId="24" xfId="0" applyBorder="1"/>
    <xf numFmtId="0" fontId="0" fillId="0" borderId="13" xfId="0" applyFill="1" applyBorder="1"/>
    <xf numFmtId="0" fontId="0" fillId="0" borderId="13" xfId="0" applyFill="1" applyBorder="1" applyAlignment="1"/>
    <xf numFmtId="0" fontId="3" fillId="0" borderId="11" xfId="0" applyFont="1" applyBorder="1"/>
    <xf numFmtId="0" fontId="0" fillId="0" borderId="13" xfId="0" applyFill="1" applyBorder="1" applyAlignment="1">
      <alignment horizontal="right"/>
    </xf>
    <xf numFmtId="164" fontId="2" fillId="0" borderId="13" xfId="2" applyNumberFormat="1" applyFill="1" applyBorder="1"/>
    <xf numFmtId="166" fontId="5" fillId="0" borderId="9" xfId="0" applyNumberFormat="1" applyFont="1" applyBorder="1" applyAlignment="1">
      <alignment horizontal="center"/>
    </xf>
    <xf numFmtId="1" fontId="5" fillId="0" borderId="9" xfId="0" applyNumberFormat="1" applyFont="1" applyBorder="1" applyAlignment="1">
      <alignment horizontal="center"/>
    </xf>
    <xf numFmtId="0" fontId="3" fillId="0" borderId="8" xfId="0" applyFont="1" applyBorder="1" applyAlignment="1"/>
    <xf numFmtId="0" fontId="7" fillId="0" borderId="9" xfId="0" applyFont="1" applyBorder="1" applyAlignment="1"/>
    <xf numFmtId="0" fontId="7" fillId="0" borderId="10" xfId="0" applyFont="1" applyBorder="1" applyAlignment="1"/>
    <xf numFmtId="0" fontId="0" fillId="0" borderId="22" xfId="0" applyBorder="1" applyAlignment="1">
      <alignment horizontal="left"/>
    </xf>
    <xf numFmtId="0" fontId="0" fillId="0" borderId="12" xfId="0" applyFill="1" applyBorder="1" applyAlignment="1">
      <alignment horizontal="right" vertical="center" wrapText="1"/>
    </xf>
    <xf numFmtId="166" fontId="0" fillId="0" borderId="13" xfId="0" applyNumberFormat="1" applyBorder="1" applyAlignment="1">
      <alignment horizontal="center"/>
    </xf>
    <xf numFmtId="1" fontId="0" fillId="0" borderId="13" xfId="0" applyNumberFormat="1" applyBorder="1" applyAlignment="1">
      <alignment horizontal="center"/>
    </xf>
    <xf numFmtId="0" fontId="0" fillId="0" borderId="0" xfId="0" applyBorder="1" applyAlignment="1">
      <alignment horizontal="right" vertical="center"/>
    </xf>
    <xf numFmtId="0" fontId="0" fillId="0" borderId="0" xfId="0"/>
    <xf numFmtId="0" fontId="0" fillId="0" borderId="19" xfId="0" applyBorder="1"/>
    <xf numFmtId="0" fontId="0" fillId="0" borderId="19" xfId="0" applyFill="1" applyBorder="1"/>
    <xf numFmtId="0" fontId="0" fillId="0" borderId="0" xfId="0"/>
    <xf numFmtId="0" fontId="2" fillId="3" borderId="3" xfId="2" applyBorder="1" applyAlignment="1">
      <alignment horizontal="center"/>
    </xf>
    <xf numFmtId="0" fontId="0" fillId="0" borderId="7" xfId="0" applyBorder="1"/>
    <xf numFmtId="0" fontId="0" fillId="0" borderId="27" xfId="0" applyBorder="1" applyAlignment="1">
      <alignment horizontal="right" vertical="center"/>
    </xf>
    <xf numFmtId="0" fontId="0" fillId="0" borderId="27" xfId="0" applyBorder="1" applyAlignment="1">
      <alignment horizontal="right"/>
    </xf>
    <xf numFmtId="0" fontId="0" fillId="0" borderId="27" xfId="0" applyFill="1" applyBorder="1" applyAlignment="1">
      <alignment horizontal="right" vertical="center" wrapText="1"/>
    </xf>
    <xf numFmtId="0" fontId="19" fillId="0" borderId="0" xfId="0" applyFont="1" applyFill="1" applyBorder="1" applyAlignment="1">
      <alignment horizontal="left" vertical="top" wrapText="1"/>
    </xf>
    <xf numFmtId="0" fontId="0" fillId="0" borderId="0" xfId="0"/>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17" xfId="0" applyFill="1" applyBorder="1" applyAlignment="1">
      <alignment wrapText="1"/>
    </xf>
    <xf numFmtId="0" fontId="19" fillId="0" borderId="11" xfId="0" applyFont="1" applyBorder="1" applyAlignment="1">
      <alignment horizontal="center" vertical="center" wrapText="1"/>
    </xf>
    <xf numFmtId="0" fontId="0" fillId="0" borderId="0" xfId="0"/>
    <xf numFmtId="0" fontId="0" fillId="0" borderId="0" xfId="0" applyBorder="1" applyAlignment="1">
      <alignment horizontal="right" wrapText="1"/>
    </xf>
    <xf numFmtId="0" fontId="0" fillId="0" borderId="0" xfId="0"/>
    <xf numFmtId="0" fontId="0" fillId="0" borderId="0" xfId="0" applyBorder="1" applyAlignment="1">
      <alignment horizontal="center" vertical="center"/>
    </xf>
    <xf numFmtId="0" fontId="0" fillId="0" borderId="9" xfId="0" applyFill="1" applyBorder="1" applyAlignment="1">
      <alignment horizontal="center"/>
    </xf>
    <xf numFmtId="0" fontId="0" fillId="0" borderId="12" xfId="0" applyBorder="1" applyAlignment="1">
      <alignment horizontal="right" vertical="center"/>
    </xf>
    <xf numFmtId="0" fontId="0" fillId="6" borderId="0" xfId="0" applyFill="1" applyBorder="1"/>
    <xf numFmtId="0" fontId="0" fillId="6" borderId="3" xfId="0" applyFill="1" applyBorder="1"/>
    <xf numFmtId="0" fontId="0" fillId="6" borderId="15" xfId="0" applyFill="1" applyBorder="1"/>
    <xf numFmtId="1" fontId="2" fillId="3" borderId="31" xfId="2" applyNumberFormat="1" applyBorder="1" applyAlignment="1">
      <alignment horizontal="center" vertical="center"/>
    </xf>
    <xf numFmtId="166" fontId="2" fillId="3" borderId="31" xfId="2" applyNumberFormat="1" applyBorder="1" applyAlignment="1">
      <alignment horizontal="center" vertical="center"/>
    </xf>
    <xf numFmtId="0" fontId="20" fillId="0" borderId="11" xfId="0" applyFont="1" applyBorder="1" applyAlignment="1">
      <alignment horizontal="right" vertical="center"/>
    </xf>
    <xf numFmtId="0" fontId="20" fillId="0" borderId="3" xfId="0" applyFont="1" applyFill="1" applyBorder="1" applyAlignment="1">
      <alignment horizontal="center" vertical="center"/>
    </xf>
    <xf numFmtId="0" fontId="20" fillId="0" borderId="3" xfId="0" applyFont="1" applyBorder="1" applyAlignment="1">
      <alignment horizontal="center" vertical="center"/>
    </xf>
    <xf numFmtId="165" fontId="2" fillId="3" borderId="2" xfId="2" applyNumberFormat="1" applyBorder="1" applyAlignment="1">
      <alignment horizontal="center"/>
    </xf>
    <xf numFmtId="0" fontId="2" fillId="3" borderId="2" xfId="2" applyBorder="1" applyAlignment="1">
      <alignment horizontal="center"/>
    </xf>
    <xf numFmtId="0" fontId="0" fillId="0" borderId="0" xfId="0"/>
    <xf numFmtId="0" fontId="0" fillId="0" borderId="0" xfId="0"/>
    <xf numFmtId="0" fontId="0" fillId="0" borderId="17" xfId="0" applyBorder="1" applyAlignment="1">
      <alignment wrapText="1"/>
    </xf>
    <xf numFmtId="0" fontId="0" fillId="0" borderId="37" xfId="0" applyBorder="1" applyAlignment="1">
      <alignment horizontal="center"/>
    </xf>
    <xf numFmtId="2" fontId="11" fillId="3" borderId="38" xfId="2" applyNumberFormat="1" applyFont="1" applyBorder="1" applyAlignment="1">
      <alignment horizontal="center" wrapText="1"/>
    </xf>
    <xf numFmtId="2" fontId="11" fillId="3" borderId="39" xfId="2" applyNumberFormat="1" applyFont="1" applyBorder="1" applyAlignment="1">
      <alignment horizontal="center" wrapText="1"/>
    </xf>
    <xf numFmtId="165" fontId="0" fillId="0" borderId="39" xfId="0" applyNumberFormat="1" applyFont="1" applyBorder="1" applyAlignment="1">
      <alignment horizontal="center" vertical="center" wrapText="1"/>
    </xf>
    <xf numFmtId="2" fontId="11" fillId="0" borderId="0" xfId="2" applyNumberFormat="1" applyFont="1" applyFill="1" applyBorder="1" applyAlignment="1">
      <alignment horizontal="center"/>
    </xf>
    <xf numFmtId="0" fontId="0" fillId="0" borderId="11" xfId="0" applyFill="1" applyBorder="1" applyAlignment="1">
      <alignment horizontal="center"/>
    </xf>
    <xf numFmtId="165" fontId="0" fillId="0" borderId="11" xfId="0" applyNumberFormat="1" applyFont="1" applyFill="1" applyBorder="1" applyAlignment="1">
      <alignment horizontal="center" vertical="center" wrapText="1"/>
    </xf>
    <xf numFmtId="165" fontId="11" fillId="0" borderId="0" xfId="2" applyNumberFormat="1" applyFont="1" applyFill="1" applyBorder="1" applyAlignment="1">
      <alignment horizontal="center"/>
    </xf>
    <xf numFmtId="165" fontId="0"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xf numFmtId="0" fontId="0" fillId="0" borderId="0" xfId="0" applyBorder="1" applyAlignment="1">
      <alignment horizontal="right" vertical="center"/>
    </xf>
    <xf numFmtId="0" fontId="0" fillId="0" borderId="21" xfId="0" applyBorder="1"/>
    <xf numFmtId="0" fontId="10" fillId="0" borderId="0" xfId="0" applyFont="1"/>
    <xf numFmtId="0" fontId="0" fillId="0" borderId="21" xfId="0" applyFont="1" applyFill="1" applyBorder="1"/>
    <xf numFmtId="0" fontId="0" fillId="0" borderId="32" xfId="0" applyFont="1" applyFill="1" applyBorder="1"/>
    <xf numFmtId="165" fontId="0" fillId="0" borderId="0" xfId="0" applyNumberFormat="1" applyFont="1" applyBorder="1" applyAlignment="1">
      <alignment horizontal="center" vertical="center" wrapText="1"/>
    </xf>
    <xf numFmtId="0" fontId="0" fillId="0" borderId="0" xfId="0" applyFill="1"/>
    <xf numFmtId="0" fontId="0" fillId="0" borderId="25" xfId="0" applyBorder="1"/>
    <xf numFmtId="0" fontId="0" fillId="0" borderId="22" xfId="0" applyFill="1" applyBorder="1" applyAlignment="1">
      <alignment horizontal="center"/>
    </xf>
    <xf numFmtId="2" fontId="11" fillId="0" borderId="22" xfId="2" applyNumberFormat="1" applyFont="1" applyFill="1" applyBorder="1" applyAlignment="1">
      <alignment horizontal="center"/>
    </xf>
    <xf numFmtId="165" fontId="0" fillId="0" borderId="22" xfId="0" applyNumberFormat="1" applyFont="1" applyFill="1" applyBorder="1" applyAlignment="1">
      <alignment horizontal="center" vertical="center" wrapText="1"/>
    </xf>
    <xf numFmtId="0" fontId="0" fillId="0" borderId="0" xfId="0" applyBorder="1" applyAlignment="1">
      <alignment horizontal="right" vertical="top"/>
    </xf>
    <xf numFmtId="0" fontId="0" fillId="0" borderId="12" xfId="0" applyFill="1" applyBorder="1"/>
    <xf numFmtId="0" fontId="0" fillId="0" borderId="13" xfId="0" applyFill="1" applyBorder="1" applyAlignment="1">
      <alignment horizontal="right" vertical="top"/>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19" fillId="0" borderId="0" xfId="0" applyFont="1" applyBorder="1" applyAlignment="1">
      <alignment horizontal="left" wrapText="1"/>
    </xf>
    <xf numFmtId="0" fontId="19" fillId="0" borderId="22" xfId="0" applyFont="1" applyBorder="1" applyAlignment="1">
      <alignment horizontal="left" wrapText="1"/>
    </xf>
    <xf numFmtId="0" fontId="0" fillId="0" borderId="22" xfId="0" applyBorder="1" applyAlignment="1">
      <alignment horizontal="center"/>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21" fillId="0" borderId="0" xfId="0" applyFont="1" applyAlignment="1">
      <alignment vertical="top"/>
    </xf>
    <xf numFmtId="2" fontId="11" fillId="6" borderId="3" xfId="1" applyNumberFormat="1" applyFont="1" applyFill="1" applyBorder="1" applyAlignment="1" applyProtection="1">
      <alignment horizontal="center"/>
      <protection locked="0"/>
    </xf>
    <xf numFmtId="165" fontId="11" fillId="6" borderId="17" xfId="1" applyNumberFormat="1" applyFont="1" applyFill="1" applyBorder="1" applyProtection="1">
      <protection locked="0"/>
    </xf>
    <xf numFmtId="165" fontId="11" fillId="6" borderId="3" xfId="1" applyNumberFormat="1" applyFont="1" applyFill="1" applyBorder="1" applyProtection="1">
      <protection locked="0"/>
    </xf>
    <xf numFmtId="0" fontId="0" fillId="6" borderId="0" xfId="0" applyFill="1" applyBorder="1" applyProtection="1">
      <protection locked="0"/>
    </xf>
    <xf numFmtId="2" fontId="0" fillId="0" borderId="0" xfId="0" applyNumberFormat="1" applyProtection="1">
      <protection locked="0"/>
    </xf>
    <xf numFmtId="2" fontId="0" fillId="0" borderId="0" xfId="0" applyNumberFormat="1" applyFill="1" applyBorder="1" applyAlignment="1" applyProtection="1">
      <alignment horizontal="center"/>
      <protection locked="0"/>
    </xf>
    <xf numFmtId="0" fontId="14" fillId="0" borderId="9" xfId="0" applyFont="1" applyBorder="1" applyProtection="1">
      <protection locked="0"/>
    </xf>
    <xf numFmtId="0" fontId="14" fillId="0" borderId="22" xfId="0" applyFont="1" applyBorder="1" applyProtection="1">
      <protection locked="0"/>
    </xf>
    <xf numFmtId="0" fontId="0" fillId="0" borderId="0" xfId="0" applyBorder="1" applyAlignment="1">
      <alignment horizontal="right" vertical="center"/>
    </xf>
    <xf numFmtId="0" fontId="0" fillId="0" borderId="0" xfId="0"/>
    <xf numFmtId="0" fontId="0" fillId="0" borderId="0" xfId="0" applyBorder="1" applyAlignment="1">
      <alignment horizontal="center" vertical="center"/>
    </xf>
    <xf numFmtId="0" fontId="0" fillId="0" borderId="0" xfId="0" applyBorder="1" applyAlignment="1" applyProtection="1">
      <alignment horizontal="left" wrapText="1"/>
      <protection locked="0"/>
    </xf>
    <xf numFmtId="0" fontId="0" fillId="0" borderId="0" xfId="0" applyBorder="1" applyAlignment="1">
      <alignment horizontal="right" vertical="center"/>
    </xf>
    <xf numFmtId="0" fontId="11" fillId="6" borderId="0" xfId="0" applyFont="1" applyFill="1" applyBorder="1" applyAlignment="1" applyProtection="1">
      <alignment horizontal="center" vertical="center"/>
      <protection locked="0"/>
    </xf>
    <xf numFmtId="0" fontId="14" fillId="0" borderId="22" xfId="0" applyFont="1" applyFill="1" applyBorder="1" applyProtection="1">
      <protection locked="0"/>
    </xf>
    <xf numFmtId="0" fontId="0" fillId="0" borderId="13" xfId="0" applyBorder="1" applyAlignment="1">
      <alignment horizontal="right" vertical="top"/>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1" fillId="0" borderId="22" xfId="0" applyFont="1" applyFill="1" applyBorder="1" applyAlignment="1">
      <alignment horizontal="left" vertical="top" wrapText="1"/>
    </xf>
    <xf numFmtId="0" fontId="0" fillId="0" borderId="0" xfId="0" applyBorder="1" applyAlignment="1">
      <alignment horizontal="right" vertical="center"/>
    </xf>
    <xf numFmtId="2" fontId="1" fillId="0" borderId="13" xfId="1" applyNumberFormat="1" applyFill="1" applyBorder="1"/>
    <xf numFmtId="2" fontId="12" fillId="0" borderId="13" xfId="1" applyNumberFormat="1" applyFont="1" applyFill="1" applyBorder="1" applyAlignment="1">
      <alignment horizontal="right"/>
    </xf>
    <xf numFmtId="0" fontId="27" fillId="0" borderId="11" xfId="0" applyFont="1" applyFill="1" applyBorder="1" applyAlignment="1">
      <alignment horizontal="right" vertical="center" wrapText="1"/>
    </xf>
    <xf numFmtId="0" fontId="11" fillId="6" borderId="24" xfId="1" applyFont="1" applyFill="1" applyBorder="1" applyProtection="1">
      <protection locked="0"/>
    </xf>
    <xf numFmtId="0" fontId="0" fillId="0" borderId="47" xfId="0" applyBorder="1" applyAlignment="1">
      <alignment horizontal="center"/>
    </xf>
    <xf numFmtId="0" fontId="0" fillId="10" borderId="38" xfId="0" applyFill="1" applyBorder="1"/>
    <xf numFmtId="0" fontId="11" fillId="6" borderId="3" xfId="0" applyFont="1" applyFill="1" applyBorder="1" applyAlignment="1" applyProtection="1">
      <alignment horizontal="center"/>
      <protection locked="0"/>
    </xf>
    <xf numFmtId="167" fontId="31" fillId="0" borderId="0" xfId="2" applyNumberFormat="1" applyFont="1" applyFill="1" applyBorder="1" applyAlignment="1">
      <alignment horizontal="right" vertical="center"/>
    </xf>
    <xf numFmtId="0" fontId="0" fillId="0" borderId="5" xfId="0" applyBorder="1" applyAlignment="1">
      <alignment wrapText="1"/>
    </xf>
    <xf numFmtId="0" fontId="0" fillId="0" borderId="48" xfId="0" applyBorder="1"/>
    <xf numFmtId="0" fontId="0" fillId="0" borderId="27" xfId="0" applyBorder="1" applyAlignment="1">
      <alignment horizontal="center" wrapText="1"/>
    </xf>
    <xf numFmtId="167" fontId="30" fillId="0" borderId="0" xfId="0" applyNumberFormat="1" applyFont="1" applyBorder="1" applyAlignment="1">
      <alignment horizontal="right" vertical="center"/>
    </xf>
    <xf numFmtId="167" fontId="30" fillId="0" borderId="22" xfId="0" applyNumberFormat="1" applyFont="1" applyBorder="1" applyAlignment="1">
      <alignment horizontal="right" vertical="center"/>
    </xf>
    <xf numFmtId="167" fontId="31" fillId="0" borderId="22" xfId="2" applyNumberFormat="1" applyFont="1" applyFill="1" applyBorder="1" applyAlignment="1">
      <alignment horizontal="right" vertical="center"/>
    </xf>
    <xf numFmtId="0" fontId="32" fillId="0" borderId="0" xfId="0" applyFont="1"/>
    <xf numFmtId="0" fontId="33" fillId="0" borderId="0" xfId="0" applyFont="1"/>
    <xf numFmtId="0" fontId="33" fillId="0" borderId="0" xfId="0" applyFont="1" applyAlignment="1">
      <alignment horizontal="right"/>
    </xf>
    <xf numFmtId="0" fontId="33" fillId="6" borderId="3" xfId="0" applyFont="1" applyFill="1" applyBorder="1"/>
    <xf numFmtId="0" fontId="33" fillId="7" borderId="3" xfId="0" applyFont="1" applyFill="1" applyBorder="1"/>
    <xf numFmtId="0" fontId="34" fillId="3" borderId="16" xfId="2" applyFont="1" applyBorder="1"/>
    <xf numFmtId="0" fontId="34" fillId="0" borderId="0" xfId="2" applyFont="1" applyFill="1" applyBorder="1"/>
    <xf numFmtId="0" fontId="35" fillId="0" borderId="0" xfId="3" applyFont="1"/>
    <xf numFmtId="0" fontId="36" fillId="0" borderId="0" xfId="3" applyFont="1"/>
    <xf numFmtId="0" fontId="38" fillId="0" borderId="0" xfId="0" applyFont="1"/>
    <xf numFmtId="165" fontId="11" fillId="6" borderId="3" xfId="1" applyNumberFormat="1" applyFont="1" applyFill="1" applyBorder="1" applyAlignment="1" applyProtection="1">
      <alignment horizontal="center"/>
      <protection locked="0"/>
    </xf>
    <xf numFmtId="2" fontId="0" fillId="0" borderId="3" xfId="0" applyNumberFormat="1" applyBorder="1" applyAlignment="1">
      <alignment horizontal="center" vertical="center"/>
    </xf>
    <xf numFmtId="2" fontId="11" fillId="6" borderId="3" xfId="1" applyNumberFormat="1" applyFont="1" applyFill="1" applyBorder="1" applyAlignment="1" applyProtection="1">
      <alignment horizontal="center" vertical="center"/>
      <protection locked="0"/>
    </xf>
    <xf numFmtId="0" fontId="0" fillId="0" borderId="3" xfId="0" applyBorder="1" applyAlignment="1">
      <alignment horizontal="center" wrapText="1"/>
    </xf>
    <xf numFmtId="0" fontId="0" fillId="0" borderId="3" xfId="0" applyBorder="1" applyAlignment="1">
      <alignment horizontal="center"/>
    </xf>
    <xf numFmtId="0" fontId="0" fillId="0" borderId="11" xfId="0" applyBorder="1" applyAlignment="1">
      <alignment horizontal="right" wrapText="1"/>
    </xf>
    <xf numFmtId="0" fontId="0" fillId="0" borderId="12" xfId="0" applyBorder="1" applyAlignment="1">
      <alignment horizontal="right" vertical="top"/>
    </xf>
    <xf numFmtId="0" fontId="0" fillId="0" borderId="0" xfId="0" applyBorder="1" applyAlignment="1">
      <alignment wrapText="1"/>
    </xf>
    <xf numFmtId="0" fontId="0" fillId="0" borderId="27" xfId="0" applyBorder="1" applyAlignment="1">
      <alignment horizontal="right" wrapText="1"/>
    </xf>
    <xf numFmtId="164" fontId="2" fillId="3" borderId="2" xfId="2" applyNumberFormat="1" applyAlignment="1" applyProtection="1">
      <alignment horizontal="center" vertical="center" wrapText="1"/>
    </xf>
    <xf numFmtId="0" fontId="39" fillId="0" borderId="22" xfId="0" applyFont="1" applyBorder="1" applyAlignment="1">
      <alignment horizontal="center" vertical="center" wrapText="1"/>
    </xf>
    <xf numFmtId="0" fontId="33" fillId="0" borderId="0" xfId="0" applyFont="1" applyAlignment="1">
      <alignment horizontal="left" wrapText="1"/>
    </xf>
    <xf numFmtId="0" fontId="33" fillId="0" borderId="0" xfId="0" applyFont="1" applyAlignment="1">
      <alignment horizontal="left" vertical="top" wrapText="1"/>
    </xf>
    <xf numFmtId="0" fontId="0" fillId="0" borderId="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ont="1"/>
    <xf numFmtId="0" fontId="0" fillId="0" borderId="0" xfId="0" applyFont="1" applyAlignment="1">
      <alignment horizontal="left" vertical="top" wrapText="1"/>
    </xf>
    <xf numFmtId="0" fontId="8" fillId="0" borderId="0" xfId="3" applyAlignment="1"/>
    <xf numFmtId="165" fontId="2" fillId="3" borderId="3" xfId="2" applyNumberFormat="1" applyBorder="1" applyAlignment="1">
      <alignment horizontal="center" vertical="center"/>
    </xf>
    <xf numFmtId="165" fontId="2" fillId="3" borderId="3" xfId="2" applyNumberFormat="1" applyBorder="1" applyAlignment="1">
      <alignment horizontal="center"/>
    </xf>
    <xf numFmtId="2" fontId="11" fillId="0" borderId="9" xfId="2" applyNumberFormat="1" applyFont="1" applyFill="1" applyBorder="1" applyAlignment="1">
      <alignment horizontal="right" wrapText="1"/>
    </xf>
    <xf numFmtId="2" fontId="2" fillId="0" borderId="9" xfId="2" applyNumberFormat="1" applyFont="1" applyFill="1" applyBorder="1" applyAlignment="1" applyProtection="1">
      <alignment horizontal="center" wrapText="1"/>
    </xf>
    <xf numFmtId="2" fontId="2" fillId="0" borderId="9" xfId="2" applyNumberFormat="1" applyFont="1" applyFill="1" applyBorder="1" applyAlignment="1">
      <alignment horizontal="center" wrapText="1"/>
    </xf>
    <xf numFmtId="0" fontId="0" fillId="0" borderId="27" xfId="0" applyBorder="1" applyAlignment="1">
      <alignment horizontal="right" vertical="top"/>
    </xf>
    <xf numFmtId="0" fontId="7" fillId="0" borderId="9" xfId="0" applyFont="1" applyBorder="1"/>
    <xf numFmtId="0" fontId="0" fillId="0" borderId="3" xfId="0" applyBorder="1" applyAlignment="1">
      <alignment horizontal="center" wrapText="1"/>
    </xf>
    <xf numFmtId="0" fontId="0" fillId="0" borderId="3" xfId="0" applyBorder="1" applyAlignment="1">
      <alignment horizontal="center"/>
    </xf>
    <xf numFmtId="0" fontId="0" fillId="0" borderId="27" xfId="0" applyFont="1" applyFill="1" applyBorder="1" applyAlignment="1">
      <alignment horizontal="right"/>
    </xf>
    <xf numFmtId="0" fontId="0" fillId="0" borderId="27" xfId="0" applyFont="1" applyBorder="1" applyAlignment="1">
      <alignment horizontal="right" wrapText="1"/>
    </xf>
    <xf numFmtId="0" fontId="0" fillId="0" borderId="0" xfId="0" applyBorder="1" applyAlignment="1">
      <alignment horizontal="right" vertical="center"/>
    </xf>
    <xf numFmtId="165" fontId="11" fillId="6" borderId="3" xfId="1" applyNumberFormat="1" applyFont="1" applyFill="1" applyBorder="1" applyAlignment="1" applyProtection="1">
      <alignment horizontal="center" vertical="center"/>
      <protection locked="0"/>
    </xf>
    <xf numFmtId="0" fontId="0" fillId="0" borderId="11" xfId="0" applyFont="1" applyBorder="1" applyAlignment="1">
      <alignment horizontal="right" wrapText="1"/>
    </xf>
    <xf numFmtId="165" fontId="2" fillId="0" borderId="0" xfId="2" applyNumberFormat="1" applyFill="1" applyBorder="1" applyAlignment="1">
      <alignment horizontal="center"/>
    </xf>
    <xf numFmtId="165" fontId="11" fillId="6" borderId="49" xfId="1" applyNumberFormat="1" applyFont="1" applyFill="1" applyBorder="1" applyAlignment="1" applyProtection="1">
      <alignment horizontal="center" vertical="center"/>
      <protection locked="0"/>
    </xf>
    <xf numFmtId="165" fontId="2" fillId="3" borderId="31" xfId="2" applyNumberFormat="1" applyBorder="1" applyAlignment="1">
      <alignment horizontal="center" vertical="center"/>
    </xf>
    <xf numFmtId="165" fontId="2" fillId="0" borderId="0" xfId="2" applyNumberFormat="1" applyFill="1" applyBorder="1" applyAlignment="1">
      <alignment horizontal="right"/>
    </xf>
    <xf numFmtId="165" fontId="2" fillId="9" borderId="3" xfId="2" applyNumberFormat="1" applyFill="1" applyBorder="1" applyAlignment="1">
      <alignment horizontal="center"/>
    </xf>
    <xf numFmtId="0" fontId="11" fillId="0" borderId="11" xfId="0" applyFont="1" applyBorder="1" applyAlignment="1">
      <alignment horizontal="right"/>
    </xf>
    <xf numFmtId="165" fontId="11" fillId="0" borderId="0" xfId="2" applyNumberFormat="1" applyFont="1" applyFill="1" applyBorder="1" applyAlignment="1">
      <alignment horizontal="right"/>
    </xf>
    <xf numFmtId="0" fontId="27" fillId="0" borderId="22" xfId="0" applyFont="1" applyBorder="1"/>
    <xf numFmtId="164" fontId="21" fillId="0" borderId="22" xfId="4" applyNumberFormat="1" applyFont="1" applyBorder="1" applyAlignment="1">
      <alignment horizontal="left"/>
    </xf>
    <xf numFmtId="164" fontId="21" fillId="0" borderId="22" xfId="4" applyNumberFormat="1" applyFont="1" applyBorder="1" applyAlignment="1">
      <alignment horizontal="left" vertical="center"/>
    </xf>
    <xf numFmtId="168" fontId="2" fillId="3" borderId="2" xfId="2" applyNumberFormat="1" applyBorder="1" applyAlignment="1">
      <alignment horizontal="center" vertical="center"/>
    </xf>
    <xf numFmtId="168" fontId="2" fillId="3" borderId="15" xfId="2" applyNumberFormat="1" applyBorder="1" applyAlignment="1">
      <alignment horizontal="center" vertical="center"/>
    </xf>
    <xf numFmtId="168" fontId="2" fillId="3" borderId="15" xfId="2" applyNumberFormat="1" applyBorder="1" applyAlignment="1" applyProtection="1">
      <alignment horizontal="center" vertical="center"/>
    </xf>
    <xf numFmtId="168" fontId="2" fillId="3" borderId="3" xfId="2" applyNumberFormat="1" applyBorder="1" applyAlignment="1">
      <alignment horizontal="center" vertical="center"/>
    </xf>
    <xf numFmtId="0" fontId="0" fillId="0" borderId="51" xfId="0" applyFill="1" applyBorder="1" applyAlignment="1">
      <alignment horizontal="right" vertical="top"/>
    </xf>
    <xf numFmtId="0" fontId="0" fillId="0" borderId="51" xfId="0" applyFill="1" applyBorder="1" applyAlignment="1" applyProtection="1">
      <alignment horizontal="left" vertical="center" wrapText="1"/>
      <protection locked="0"/>
    </xf>
    <xf numFmtId="165" fontId="2" fillId="0" borderId="41" xfId="2" applyNumberFormat="1" applyFill="1" applyBorder="1" applyAlignment="1">
      <alignment horizontal="center"/>
    </xf>
    <xf numFmtId="165" fontId="2" fillId="3" borderId="2" xfId="2" applyNumberFormat="1" applyAlignment="1">
      <alignment horizontal="center"/>
    </xf>
    <xf numFmtId="165" fontId="2" fillId="3" borderId="3" xfId="2" applyNumberFormat="1" applyBorder="1" applyAlignment="1" applyProtection="1">
      <alignment horizontal="center" vertical="center"/>
    </xf>
    <xf numFmtId="165" fontId="2" fillId="6" borderId="3" xfId="2" applyNumberFormat="1" applyFill="1" applyBorder="1" applyAlignment="1" applyProtection="1">
      <alignment horizontal="center"/>
      <protection locked="0"/>
    </xf>
    <xf numFmtId="165" fontId="2" fillId="6" borderId="3" xfId="2" applyNumberFormat="1" applyFill="1" applyBorder="1" applyAlignment="1" applyProtection="1">
      <alignment horizontal="center" vertical="center"/>
      <protection locked="0"/>
    </xf>
    <xf numFmtId="165" fontId="11" fillId="0" borderId="0" xfId="1" applyNumberFormat="1" applyFont="1" applyFill="1" applyBorder="1" applyAlignment="1" applyProtection="1">
      <alignment horizontal="center" vertical="center"/>
    </xf>
    <xf numFmtId="0" fontId="0" fillId="0" borderId="0" xfId="0" applyFill="1" applyBorder="1" applyAlignment="1" applyProtection="1">
      <alignment horizontal="right"/>
    </xf>
    <xf numFmtId="0" fontId="0" fillId="0" borderId="0" xfId="0" applyBorder="1" applyProtection="1"/>
    <xf numFmtId="0" fontId="0" fillId="0" borderId="11" xfId="0" applyBorder="1" applyAlignment="1" applyProtection="1">
      <alignment horizontal="right"/>
    </xf>
    <xf numFmtId="165" fontId="2" fillId="0" borderId="0" xfId="2" applyNumberFormat="1" applyFill="1" applyBorder="1" applyAlignment="1" applyProtection="1">
      <alignment horizontal="center"/>
    </xf>
    <xf numFmtId="165" fontId="11" fillId="0" borderId="0" xfId="2" applyNumberFormat="1" applyFont="1" applyFill="1" applyBorder="1" applyAlignment="1" applyProtection="1">
      <alignment horizontal="center"/>
    </xf>
    <xf numFmtId="0" fontId="27" fillId="0" borderId="17" xfId="0" applyFont="1" applyBorder="1" applyAlignment="1">
      <alignment wrapText="1"/>
    </xf>
    <xf numFmtId="0" fontId="0" fillId="0" borderId="3" xfId="0" applyBorder="1" applyAlignment="1">
      <alignment horizontal="right" vertical="center"/>
    </xf>
    <xf numFmtId="2" fontId="0" fillId="0" borderId="0" xfId="0" applyNumberFormat="1"/>
    <xf numFmtId="168" fontId="11" fillId="3" borderId="40" xfId="2" applyNumberFormat="1" applyFont="1" applyBorder="1" applyAlignment="1">
      <alignment horizontal="center"/>
    </xf>
    <xf numFmtId="168" fontId="11" fillId="0" borderId="11" xfId="2" applyNumberFormat="1" applyFont="1" applyFill="1" applyBorder="1" applyAlignment="1">
      <alignment horizontal="center"/>
    </xf>
    <xf numFmtId="168" fontId="11" fillId="0" borderId="0" xfId="2" applyNumberFormat="1" applyFont="1" applyFill="1" applyBorder="1" applyAlignment="1">
      <alignment horizontal="center"/>
    </xf>
    <xf numFmtId="168" fontId="11" fillId="0" borderId="22" xfId="2" applyNumberFormat="1" applyFont="1" applyFill="1" applyBorder="1" applyAlignment="1">
      <alignment horizontal="center"/>
    </xf>
    <xf numFmtId="168" fontId="0" fillId="9" borderId="38" xfId="0" applyNumberFormat="1" applyFill="1" applyBorder="1" applyAlignment="1">
      <alignment horizontal="center"/>
    </xf>
    <xf numFmtId="168" fontId="27" fillId="0" borderId="0" xfId="0" applyNumberFormat="1" applyFont="1" applyBorder="1" applyAlignment="1">
      <alignment horizontal="center" vertical="center" wrapText="1"/>
    </xf>
    <xf numFmtId="168" fontId="0" fillId="9" borderId="39" xfId="0" applyNumberFormat="1" applyFill="1" applyBorder="1" applyAlignment="1">
      <alignment horizontal="center"/>
    </xf>
    <xf numFmtId="168" fontId="0"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44" fillId="0" borderId="22" xfId="0" applyFont="1" applyBorder="1" applyAlignment="1">
      <alignment vertical="center" wrapText="1"/>
    </xf>
    <xf numFmtId="0" fontId="0" fillId="0" borderId="3" xfId="0" applyBorder="1" applyAlignment="1">
      <alignment horizontal="center" wrapText="1"/>
    </xf>
    <xf numFmtId="0" fontId="0" fillId="0" borderId="0" xfId="0" applyBorder="1" applyAlignment="1">
      <alignment horizontal="right" vertical="center"/>
    </xf>
    <xf numFmtId="0" fontId="21" fillId="0" borderId="22" xfId="0" applyFont="1" applyFill="1" applyBorder="1" applyAlignment="1">
      <alignment horizontal="left" vertical="top" wrapText="1"/>
    </xf>
    <xf numFmtId="0" fontId="0" fillId="0" borderId="0" xfId="0" applyBorder="1" applyAlignment="1">
      <alignment horizontal="right" wrapText="1"/>
    </xf>
    <xf numFmtId="0" fontId="0" fillId="0" borderId="11" xfId="0" applyBorder="1" applyAlignment="1">
      <alignment horizontal="right" wrapText="1"/>
    </xf>
    <xf numFmtId="0" fontId="0" fillId="0" borderId="3" xfId="0" applyBorder="1" applyAlignment="1">
      <alignment horizont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168" fontId="2" fillId="3" borderId="3" xfId="2" applyNumberFormat="1" applyBorder="1" applyAlignment="1">
      <alignment horizontal="center" vertical="center" wrapText="1"/>
    </xf>
    <xf numFmtId="168" fontId="2" fillId="3" borderId="2" xfId="2" applyNumberFormat="1" applyBorder="1" applyAlignment="1">
      <alignment horizontal="center"/>
    </xf>
    <xf numFmtId="168" fontId="0" fillId="0" borderId="3" xfId="0" applyNumberFormat="1" applyFill="1" applyBorder="1" applyAlignment="1" applyProtection="1">
      <alignment horizontal="right"/>
      <protection locked="0"/>
    </xf>
    <xf numFmtId="168" fontId="27" fillId="0" borderId="22" xfId="0" applyNumberFormat="1" applyFont="1" applyBorder="1" applyAlignment="1">
      <alignment horizontal="center" vertical="center" wrapText="1"/>
    </xf>
    <xf numFmtId="0" fontId="0" fillId="0" borderId="0" xfId="0" applyFont="1" applyAlignment="1">
      <alignment horizontal="left" wrapText="1"/>
    </xf>
    <xf numFmtId="0" fontId="33" fillId="0" borderId="0" xfId="0" applyFont="1" applyAlignment="1">
      <alignment horizontal="left" wrapText="1"/>
    </xf>
    <xf numFmtId="0" fontId="0"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Alignment="1">
      <alignment horizontal="left"/>
    </xf>
    <xf numFmtId="0" fontId="37" fillId="0" borderId="0" xfId="3" applyFont="1" applyAlignment="1">
      <alignment horizontal="left" wrapText="1"/>
    </xf>
    <xf numFmtId="0" fontId="0" fillId="0" borderId="0" xfId="0" applyFont="1" applyAlignment="1">
      <alignment horizontal="left" vertical="top" wrapText="1"/>
    </xf>
    <xf numFmtId="0" fontId="33" fillId="0" borderId="0" xfId="0" applyFont="1" applyAlignment="1">
      <alignment horizontal="left" vertical="top"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21" fillId="0" borderId="22" xfId="0" applyFont="1" applyBorder="1" applyAlignment="1">
      <alignment horizontal="center" wrapText="1"/>
    </xf>
    <xf numFmtId="0" fontId="0" fillId="8" borderId="42" xfId="0" applyFill="1" applyBorder="1" applyAlignment="1" applyProtection="1">
      <alignment horizontal="left" vertical="top" wrapText="1"/>
      <protection locked="0"/>
    </xf>
    <xf numFmtId="0" fontId="0" fillId="8" borderId="4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43"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0" borderId="24" xfId="0" applyBorder="1" applyAlignment="1">
      <alignment horizontal="center" vertical="center" textRotation="90"/>
    </xf>
    <xf numFmtId="0" fontId="3" fillId="0" borderId="0" xfId="0" applyFont="1" applyBorder="1" applyAlignment="1">
      <alignment horizontal="right"/>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0" fillId="6" borderId="17"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0" borderId="3" xfId="0" applyBorder="1" applyAlignment="1">
      <alignment horizontal="center" wrapText="1"/>
    </xf>
    <xf numFmtId="0" fontId="0" fillId="0" borderId="15" xfId="0" applyBorder="1" applyAlignment="1">
      <alignment horizontal="center" wrapText="1"/>
    </xf>
    <xf numFmtId="0" fontId="0" fillId="0" borderId="49" xfId="0" applyBorder="1" applyAlignment="1">
      <alignment horizontal="center" wrapText="1"/>
    </xf>
    <xf numFmtId="0" fontId="41" fillId="0" borderId="11" xfId="0" applyFont="1" applyFill="1" applyBorder="1" applyAlignment="1">
      <alignment horizontal="left" vertical="center"/>
    </xf>
    <xf numFmtId="0" fontId="41" fillId="0" borderId="7" xfId="0" applyFont="1" applyFill="1" applyBorder="1" applyAlignment="1">
      <alignment horizontal="left" vertical="center"/>
    </xf>
    <xf numFmtId="0" fontId="11" fillId="6" borderId="17" xfId="1" applyFont="1" applyFill="1" applyBorder="1" applyAlignment="1" applyProtection="1">
      <alignment horizontal="center" shrinkToFit="1"/>
      <protection locked="0"/>
    </xf>
    <xf numFmtId="0" fontId="11" fillId="6" borderId="18" xfId="1" applyFont="1" applyFill="1" applyBorder="1" applyAlignment="1" applyProtection="1">
      <alignment horizontal="center" shrinkToFit="1"/>
      <protection locked="0"/>
    </xf>
    <xf numFmtId="0" fontId="11" fillId="6" borderId="19" xfId="1" applyFont="1" applyFill="1" applyBorder="1" applyAlignment="1" applyProtection="1">
      <alignment horizontal="center" shrinkToFit="1"/>
      <protection locked="0"/>
    </xf>
    <xf numFmtId="167" fontId="11" fillId="6" borderId="3" xfId="1" applyNumberFormat="1" applyFont="1" applyFill="1" applyBorder="1" applyAlignment="1" applyProtection="1">
      <alignment horizontal="center"/>
      <protection locked="0"/>
    </xf>
    <xf numFmtId="167" fontId="11" fillId="6" borderId="17" xfId="1" applyNumberFormat="1" applyFont="1" applyFill="1" applyBorder="1" applyAlignment="1" applyProtection="1">
      <alignment horizontal="center"/>
      <protection locked="0"/>
    </xf>
    <xf numFmtId="167" fontId="11" fillId="6" borderId="18" xfId="1" applyNumberFormat="1" applyFont="1" applyFill="1" applyBorder="1" applyAlignment="1" applyProtection="1">
      <alignment horizontal="center"/>
      <protection locked="0"/>
    </xf>
    <xf numFmtId="167" fontId="11" fillId="6" borderId="19" xfId="1" applyNumberFormat="1" applyFont="1" applyFill="1" applyBorder="1" applyAlignment="1" applyProtection="1">
      <alignment horizontal="center"/>
      <protection locked="0"/>
    </xf>
    <xf numFmtId="0" fontId="0" fillId="0" borderId="7" xfId="0" applyFill="1" applyBorder="1" applyAlignment="1">
      <alignment horizontal="right" vertical="center" wrapText="1"/>
    </xf>
    <xf numFmtId="0" fontId="2" fillId="3" borderId="2" xfId="2" applyAlignment="1" applyProtection="1">
      <alignment horizontal="center"/>
      <protection locked="0"/>
    </xf>
    <xf numFmtId="0" fontId="0" fillId="7" borderId="14" xfId="0" applyFill="1" applyBorder="1" applyAlignment="1" applyProtection="1">
      <alignment horizontal="left" vertical="center" wrapText="1"/>
      <protection locked="0"/>
    </xf>
    <xf numFmtId="0" fontId="0" fillId="7" borderId="33"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11" fillId="6" borderId="17" xfId="1" applyFont="1" applyFill="1" applyBorder="1" applyAlignment="1" applyProtection="1">
      <alignment horizontal="center"/>
      <protection locked="0"/>
    </xf>
    <xf numFmtId="0" fontId="11" fillId="6" borderId="18" xfId="1" applyFont="1" applyFill="1" applyBorder="1" applyAlignment="1" applyProtection="1">
      <alignment horizontal="center"/>
      <protection locked="0"/>
    </xf>
    <xf numFmtId="0" fontId="11" fillId="6" borderId="19" xfId="1" applyFont="1" applyFill="1" applyBorder="1" applyAlignment="1" applyProtection="1">
      <alignment horizontal="center"/>
      <protection locked="0"/>
    </xf>
    <xf numFmtId="0" fontId="0" fillId="7" borderId="34" xfId="0"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0" fillId="7" borderId="36" xfId="0" applyFill="1" applyBorder="1" applyAlignment="1" applyProtection="1">
      <alignment horizontal="left" vertical="center" wrapText="1"/>
      <protection locked="0"/>
    </xf>
    <xf numFmtId="0" fontId="0" fillId="6" borderId="17"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0" borderId="0" xfId="0" applyBorder="1" applyAlignment="1">
      <alignment horizontal="right" vertical="center"/>
    </xf>
    <xf numFmtId="0" fontId="0" fillId="0" borderId="0" xfId="0" applyBorder="1" applyAlignment="1" applyProtection="1">
      <alignment horizontal="center" vertical="center" wrapText="1"/>
      <protection locked="0"/>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27" fillId="0" borderId="20"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0" xfId="0" applyFill="1" applyBorder="1" applyAlignment="1" applyProtection="1">
      <alignment horizontal="center"/>
      <protection locked="0"/>
    </xf>
    <xf numFmtId="0" fontId="0" fillId="0" borderId="26" xfId="0" applyBorder="1" applyAlignment="1">
      <alignment horizontal="center" wrapText="1"/>
    </xf>
    <xf numFmtId="0" fontId="0" fillId="0" borderId="0" xfId="0" applyBorder="1" applyAlignment="1">
      <alignment horizontal="right" wrapText="1"/>
    </xf>
    <xf numFmtId="0" fontId="0" fillId="0" borderId="0" xfId="0" applyBorder="1" applyAlignment="1" applyProtection="1">
      <alignment horizontal="center" vertical="center"/>
      <protection locked="0"/>
    </xf>
    <xf numFmtId="0" fontId="25" fillId="0" borderId="20" xfId="0" applyFont="1" applyBorder="1" applyAlignment="1">
      <alignment horizontal="left" vertical="center" wrapText="1"/>
    </xf>
    <xf numFmtId="0" fontId="25" fillId="0" borderId="0" xfId="0" applyFont="1" applyBorder="1" applyAlignment="1">
      <alignment horizontal="left" vertical="center" wrapText="1"/>
    </xf>
    <xf numFmtId="0" fontId="25" fillId="0" borderId="22" xfId="0" applyFont="1" applyBorder="1" applyAlignment="1">
      <alignment horizontal="left" vertical="center" wrapText="1"/>
    </xf>
    <xf numFmtId="0" fontId="0" fillId="0" borderId="3" xfId="0" applyFill="1" applyBorder="1" applyAlignment="1" applyProtection="1">
      <alignment horizontal="center"/>
      <protection locked="0"/>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22" xfId="0" applyFont="1" applyBorder="1" applyAlignment="1">
      <alignment horizontal="left" wrapText="1"/>
    </xf>
    <xf numFmtId="0" fontId="41" fillId="0" borderId="11" xfId="0" applyFont="1" applyBorder="1" applyAlignment="1">
      <alignment horizontal="left"/>
    </xf>
    <xf numFmtId="0" fontId="41" fillId="0" borderId="7" xfId="0" applyFont="1" applyBorder="1" applyAlignment="1">
      <alignment horizontal="left"/>
    </xf>
    <xf numFmtId="0" fontId="0" fillId="0" borderId="11" xfId="0" applyBorder="1" applyAlignment="1">
      <alignment horizontal="right" wrapText="1"/>
    </xf>
    <xf numFmtId="0" fontId="0" fillId="0" borderId="29" xfId="0" applyBorder="1" applyAlignment="1">
      <alignment horizontal="right" wrapText="1"/>
    </xf>
    <xf numFmtId="0" fontId="11" fillId="6" borderId="30" xfId="1" applyFont="1" applyFill="1" applyBorder="1" applyAlignment="1" applyProtection="1">
      <alignment horizontal="center"/>
      <protection locked="0"/>
    </xf>
    <xf numFmtId="0" fontId="11" fillId="6" borderId="3" xfId="1" applyFont="1" applyFill="1" applyBorder="1" applyAlignment="1" applyProtection="1">
      <alignment horizontal="center"/>
      <protection locked="0"/>
    </xf>
    <xf numFmtId="0" fontId="19" fillId="0" borderId="27" xfId="0" applyFont="1" applyBorder="1" applyAlignment="1">
      <alignment horizontal="center" vertic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23" xfId="0" applyFont="1" applyBorder="1" applyAlignment="1">
      <alignment horizont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30" xfId="0" applyBorder="1" applyAlignment="1">
      <alignment horizontal="center"/>
    </xf>
    <xf numFmtId="0" fontId="0" fillId="0" borderId="3" xfId="0" applyBorder="1" applyAlignment="1">
      <alignment horizontal="center"/>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22" xfId="0" applyFont="1" applyFill="1" applyBorder="1" applyAlignment="1">
      <alignment horizontal="center" wrapText="1"/>
    </xf>
    <xf numFmtId="0" fontId="11" fillId="0" borderId="0" xfId="0" applyFont="1" applyBorder="1" applyAlignment="1">
      <alignment horizontal="right" wrapText="1"/>
    </xf>
    <xf numFmtId="0" fontId="0" fillId="0" borderId="20" xfId="0" applyBorder="1" applyAlignment="1">
      <alignment horizontal="right"/>
    </xf>
    <xf numFmtId="0" fontId="0" fillId="0" borderId="6" xfId="0" applyBorder="1" applyAlignment="1">
      <alignment horizontal="right"/>
    </xf>
    <xf numFmtId="0" fontId="0" fillId="0" borderId="20" xfId="0" applyFont="1" applyBorder="1" applyAlignment="1">
      <alignment horizontal="right" wrapText="1"/>
    </xf>
    <xf numFmtId="0" fontId="0" fillId="0" borderId="29" xfId="0" applyFont="1" applyBorder="1" applyAlignment="1">
      <alignment horizontal="right" wrapText="1"/>
    </xf>
    <xf numFmtId="0" fontId="40" fillId="0" borderId="20" xfId="0" applyFont="1" applyBorder="1" applyAlignment="1">
      <alignment horizontal="center"/>
    </xf>
    <xf numFmtId="0" fontId="40" fillId="0" borderId="0" xfId="0" applyFont="1" applyBorder="1" applyAlignment="1">
      <alignment horizontal="center"/>
    </xf>
    <xf numFmtId="0" fontId="40" fillId="0" borderId="22" xfId="0" applyFont="1" applyBorder="1" applyAlignment="1">
      <alignment horizont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43" fillId="0" borderId="25" xfId="0" applyFont="1" applyBorder="1" applyAlignment="1">
      <alignment horizontal="center" vertical="top" wrapText="1"/>
    </xf>
    <xf numFmtId="0" fontId="43" fillId="0" borderId="7" xfId="0" applyFont="1" applyBorder="1" applyAlignment="1">
      <alignment horizontal="center" vertical="top" wrapText="1"/>
    </xf>
    <xf numFmtId="0" fontId="43" fillId="0" borderId="50" xfId="0" applyFont="1" applyBorder="1" applyAlignment="1">
      <alignment horizontal="center" vertical="top" wrapText="1"/>
    </xf>
    <xf numFmtId="0" fontId="0" fillId="0" borderId="0" xfId="0" applyFill="1" applyBorder="1" applyAlignment="1" applyProtection="1">
      <alignment horizontal="right" vertical="top" wrapText="1"/>
    </xf>
    <xf numFmtId="0" fontId="0" fillId="0" borderId="0" xfId="0" applyProtection="1">
      <protection locked="0"/>
    </xf>
    <xf numFmtId="0" fontId="0" fillId="0" borderId="28" xfId="0" applyBorder="1" applyAlignment="1">
      <alignment horizontal="center"/>
    </xf>
    <xf numFmtId="0" fontId="0" fillId="0" borderId="0" xfId="0" applyFont="1" applyBorder="1" applyAlignment="1">
      <alignment horizontal="left" wrapText="1"/>
    </xf>
    <xf numFmtId="0" fontId="0" fillId="0" borderId="22" xfId="0" applyFont="1"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2" fillId="3" borderId="2" xfId="2" applyBorder="1" applyAlignment="1">
      <alignment horizontal="center" wrapText="1"/>
    </xf>
    <xf numFmtId="0" fontId="20" fillId="0" borderId="7" xfId="0" applyFont="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vertical="center"/>
    </xf>
    <xf numFmtId="0" fontId="0" fillId="5" borderId="5" xfId="0"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429">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top style="thin">
          <color auto="1"/>
        </top>
        <bottom style="thin">
          <color auto="1"/>
        </bottom>
        <vertical/>
        <horizontal/>
      </border>
    </dxf>
    <dxf>
      <font>
        <color theme="0"/>
      </font>
      <border>
        <top/>
        <bottom/>
        <vertical/>
        <horizontal/>
      </border>
    </dxf>
    <dxf>
      <font>
        <color theme="0"/>
      </font>
    </dxf>
    <dxf>
      <font>
        <color auto="1"/>
      </font>
      <border>
        <right style="thin">
          <color auto="1"/>
        </right>
        <bottom style="thin">
          <color auto="1"/>
        </bottom>
        <vertical/>
        <horizontal/>
      </border>
    </dxf>
    <dxf>
      <font>
        <color theme="0"/>
      </font>
    </dxf>
    <dxf>
      <font>
        <color auto="1"/>
      </font>
      <border>
        <right style="thin">
          <color auto="1"/>
        </right>
        <bottom style="thin">
          <color auto="1"/>
        </bottom>
        <vertical/>
        <horizontal/>
      </border>
    </dxf>
    <dxf>
      <border>
        <right style="thin">
          <color auto="1"/>
        </right>
        <top style="thin">
          <color auto="1"/>
        </top>
        <bottom style="thin">
          <color auto="1"/>
        </bottom>
        <vertical/>
        <horizontal/>
      </border>
    </dxf>
    <dxf>
      <font>
        <color theme="0"/>
      </font>
    </dxf>
    <dxf>
      <fill>
        <patternFill>
          <bgColor theme="0" tint="-4.9989318521683403E-2"/>
        </patternFill>
      </fill>
    </dxf>
    <dxf>
      <fill>
        <patternFill>
          <bgColor rgb="FFFDF7D9"/>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ill>
        <patternFill>
          <bgColor theme="0" tint="-4.9989318521683403E-2"/>
        </patternFill>
      </fill>
    </dxf>
    <dxf>
      <border>
        <right style="thin">
          <color auto="1"/>
        </right>
        <top style="thin">
          <color auto="1"/>
        </top>
        <bottom style="thin">
          <color auto="1"/>
        </bottom>
        <vertical/>
        <horizontal/>
      </border>
    </dxf>
    <dxf>
      <font>
        <color theme="0"/>
      </font>
    </dxf>
    <dxf>
      <fill>
        <patternFill patternType="none">
          <bgColor auto="1"/>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s>
  <tableStyles count="0" defaultTableStyle="TableStyleMedium2" defaultPivotStyle="PivotStyleLight16"/>
  <colors>
    <mruColors>
      <color rgb="FFFDF7D9"/>
      <color rgb="FFFFFFCC"/>
      <color rgb="FFCC0000"/>
      <color rgb="FFFCF7D9"/>
      <color rgb="FFFCF4C4"/>
      <color rgb="FFFDF3CF"/>
      <color rgb="FFFDFACF"/>
      <color rgb="FFFEF9D5"/>
      <color rgb="FFFAF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checked="Checked" firstButton="1" fmlaLink="$F$67"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F$8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E$8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F$10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F$10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checked="Checked" firstButton="1" fmlaLink="$F$114"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CheckBox" fmlaLink="$G$94"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G$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F$7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E$73"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F$6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firstButton="1" fmlaLink="$F$89"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E$8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checked="Checked" firstButton="1" fmlaLink="$F$10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checked="Checked" firstButton="1" fmlaLink="$F$114" lockText="1" noThreeD="1"/>
</file>

<file path=xl/ctrlProps/ctrlProp14.xml><?xml version="1.0" encoding="utf-8"?>
<formControlPr xmlns="http://schemas.microsoft.com/office/spreadsheetml/2009/9/main" objectType="Radio" firstButton="1" fmlaLink="$F$114"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fmlaLink="$G$94"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firstButton="1" fmlaLink="$G$78"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checked="Checked" firstButton="1" fmlaLink="$F$7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firstButton="1" fmlaLink="$E$73"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F$67"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checked="Checked" firstButton="1" fmlaLink="$F$8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E$89"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G$94"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F$102"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F$11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fmlaLink="$G$94"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checked="Checked" firstButton="1" fmlaLink="$G$78"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checked="Checked" firstButton="1" fmlaLink="$F$7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firstButton="1" fmlaLink="$E$73"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F$67"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G$78" lockText="1" noThreeD="1"/>
</file>

<file path=xl/ctrlProps/ctrlProp180.xml><?xml version="1.0" encoding="utf-8"?>
<formControlPr xmlns="http://schemas.microsoft.com/office/spreadsheetml/2009/9/main" objectType="Radio" checked="Checked" firstButton="1" fmlaLink="$F$89"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E$89"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F$102"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F$114"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fmlaLink="$G$94"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checked="Checked" firstButton="1" fmlaLink="$G$7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checked="Checked" firstButton="1" fmlaLink="$F$73"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checked="Checked" firstButton="1" fmlaLink="$E$73" lockText="1" noThreeD="1"/>
</file>

<file path=xl/ctrlProps/ctrlProp2.xml><?xml version="1.0" encoding="utf-8"?>
<formControlPr xmlns="http://schemas.microsoft.com/office/spreadsheetml/2009/9/main" objectType="Radio" firstButton="1" fmlaLink="$F$67"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checked="Checked" firstButton="1" fmlaLink="$F$67"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checked="Checked" firstButton="1" fmlaLink="$F$89"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checked="Checked" firstButton="1" fmlaLink="$E$89"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checked="Checked" firstButton="1" fmlaLink="$F$10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checked="Checked" firstButton="1" fmlaLink="$F$114"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CheckBox" fmlaLink="$G$94"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checked="Checked" firstButton="1" fmlaLink="$G$7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F$73"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F$7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firstButton="1" fmlaLink="$E$73" lockText="1" noThreeD="1"/>
</file>

<file path=xl/ctrlProps/ctrlProp225.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fmlaLink="$E$7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F$67"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firstButton="1" fmlaLink="$F$8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E$8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fmlaLink="$F$10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F$114"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G$94"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G$7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F$7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E$73" lockText="1" noThreeD="1"/>
</file>

<file path=xl/ctrlProps/ctrlProp5.xml><?xml version="1.0" encoding="utf-8"?>
<formControlPr xmlns="http://schemas.microsoft.com/office/spreadsheetml/2009/9/main" objectType="Radio" checked="Checked" firstButton="1" fmlaLink="$F$8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F$6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F$89"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E$8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F$10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F$114"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fmlaLink="$G$94"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G$78"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F$7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E$7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F$6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E$89" lockText="1" noThreeD="1"/>
</file>

<file path=xl/ctrlProps/ctrlProp80.xml><?xml version="1.0" encoding="utf-8"?>
<formControlPr xmlns="http://schemas.microsoft.com/office/spreadsheetml/2009/9/main" objectType="Radio" checked="Checked" firstButton="1" fmlaLink="$F$89"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fmlaLink="$E$8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F$10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F$114"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fmlaLink="$G$94"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G$7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F$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firstButton="1" fmlaLink="$E$7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46496</xdr:colOff>
      <xdr:row>22</xdr:row>
      <xdr:rowOff>38102</xdr:rowOff>
    </xdr:from>
    <xdr:to>
      <xdr:col>7</xdr:col>
      <xdr:colOff>562</xdr:colOff>
      <xdr:row>22</xdr:row>
      <xdr:rowOff>480060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976" y="5196842"/>
          <a:ext cx="3764066" cy="441958"/>
        </a:xfrm>
        <a:prstGeom prst="rect">
          <a:avLst/>
        </a:prstGeom>
        <a:ln w="19050">
          <a:solidFill>
            <a:schemeClr val="tx1"/>
          </a:solidFill>
        </a:ln>
      </xdr:spPr>
    </xdr:pic>
    <xdr:clientData/>
  </xdr:twoCellAnchor>
  <xdr:twoCellAnchor editAs="oneCell">
    <xdr:from>
      <xdr:col>0</xdr:col>
      <xdr:colOff>553192</xdr:colOff>
      <xdr:row>13</xdr:row>
      <xdr:rowOff>25981</xdr:rowOff>
    </xdr:from>
    <xdr:to>
      <xdr:col>8</xdr:col>
      <xdr:colOff>464820</xdr:colOff>
      <xdr:row>13</xdr:row>
      <xdr:rowOff>2910840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459"/>
        <a:stretch/>
      </xdr:blipFill>
      <xdr:spPr>
        <a:xfrm>
          <a:off x="553192" y="3363541"/>
          <a:ext cx="4940828" cy="2884859"/>
        </a:xfrm>
        <a:prstGeom prst="rect">
          <a:avLst/>
        </a:prstGeom>
        <a:ln w="28575">
          <a:solidFill>
            <a:sysClr val="windowText" lastClr="000000"/>
          </a:solid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1313" name="Group Box 1" hidden="1">
              <a:extLst>
                <a:ext uri="{63B3BB69-23CF-44E3-9099-C40C66FF867C}">
                  <a14:compatExt spid="_x0000_s141313"/>
                </a:ext>
                <a:ext uri="{FF2B5EF4-FFF2-40B4-BE49-F238E27FC236}">
                  <a16:creationId xmlns:a16="http://schemas.microsoft.com/office/drawing/2014/main" id="{00000000-0008-0000-0A00-000001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1314" name="Option Button 2" hidden="1">
              <a:extLst>
                <a:ext uri="{63B3BB69-23CF-44E3-9099-C40C66FF867C}">
                  <a14:compatExt spid="_x0000_s141314"/>
                </a:ext>
                <a:ext uri="{FF2B5EF4-FFF2-40B4-BE49-F238E27FC236}">
                  <a16:creationId xmlns:a16="http://schemas.microsoft.com/office/drawing/2014/main" id="{00000000-0008-0000-0A00-00000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1315" name="Option Button 3" hidden="1">
              <a:extLst>
                <a:ext uri="{63B3BB69-23CF-44E3-9099-C40C66FF867C}">
                  <a14:compatExt spid="_x0000_s141315"/>
                </a:ext>
                <a:ext uri="{FF2B5EF4-FFF2-40B4-BE49-F238E27FC236}">
                  <a16:creationId xmlns:a16="http://schemas.microsoft.com/office/drawing/2014/main" id="{00000000-0008-0000-0A00-00000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1316" name="Group Box 4" hidden="1">
              <a:extLst>
                <a:ext uri="{63B3BB69-23CF-44E3-9099-C40C66FF867C}">
                  <a14:compatExt spid="_x0000_s141316"/>
                </a:ext>
                <a:ext uri="{FF2B5EF4-FFF2-40B4-BE49-F238E27FC236}">
                  <a16:creationId xmlns:a16="http://schemas.microsoft.com/office/drawing/2014/main" id="{00000000-0008-0000-0A00-000004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1317" name="Option Button 5" hidden="1">
              <a:extLst>
                <a:ext uri="{63B3BB69-23CF-44E3-9099-C40C66FF867C}">
                  <a14:compatExt spid="_x0000_s141317"/>
                </a:ext>
                <a:ext uri="{FF2B5EF4-FFF2-40B4-BE49-F238E27FC236}">
                  <a16:creationId xmlns:a16="http://schemas.microsoft.com/office/drawing/2014/main" id="{00000000-0008-0000-0A00-000005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1318" name="Option Button 6" hidden="1">
              <a:extLst>
                <a:ext uri="{63B3BB69-23CF-44E3-9099-C40C66FF867C}">
                  <a14:compatExt spid="_x0000_s141318"/>
                </a:ext>
                <a:ext uri="{FF2B5EF4-FFF2-40B4-BE49-F238E27FC236}">
                  <a16:creationId xmlns:a16="http://schemas.microsoft.com/office/drawing/2014/main" id="{00000000-0008-0000-0A00-00000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1319" name="Group Box 7" hidden="1">
              <a:extLst>
                <a:ext uri="{63B3BB69-23CF-44E3-9099-C40C66FF867C}">
                  <a14:compatExt spid="_x0000_s141319"/>
                </a:ext>
                <a:ext uri="{FF2B5EF4-FFF2-40B4-BE49-F238E27FC236}">
                  <a16:creationId xmlns:a16="http://schemas.microsoft.com/office/drawing/2014/main" id="{00000000-0008-0000-0A00-000007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1320" name="Option Button 8" hidden="1">
              <a:extLst>
                <a:ext uri="{63B3BB69-23CF-44E3-9099-C40C66FF867C}">
                  <a14:compatExt spid="_x0000_s141320"/>
                </a:ext>
                <a:ext uri="{FF2B5EF4-FFF2-40B4-BE49-F238E27FC236}">
                  <a16:creationId xmlns:a16="http://schemas.microsoft.com/office/drawing/2014/main" id="{00000000-0008-0000-0A00-00000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1321" name="Option Button 9" hidden="1">
              <a:extLst>
                <a:ext uri="{63B3BB69-23CF-44E3-9099-C40C66FF867C}">
                  <a14:compatExt spid="_x0000_s141321"/>
                </a:ext>
                <a:ext uri="{FF2B5EF4-FFF2-40B4-BE49-F238E27FC236}">
                  <a16:creationId xmlns:a16="http://schemas.microsoft.com/office/drawing/2014/main" id="{00000000-0008-0000-0A00-00000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1322" name="Group Box 10" hidden="1">
              <a:extLst>
                <a:ext uri="{63B3BB69-23CF-44E3-9099-C40C66FF867C}">
                  <a14:compatExt spid="_x0000_s141322"/>
                </a:ext>
                <a:ext uri="{FF2B5EF4-FFF2-40B4-BE49-F238E27FC236}">
                  <a16:creationId xmlns:a16="http://schemas.microsoft.com/office/drawing/2014/main" id="{00000000-0008-0000-0A00-00000A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1323" name="Option Button 11" hidden="1">
              <a:extLst>
                <a:ext uri="{63B3BB69-23CF-44E3-9099-C40C66FF867C}">
                  <a14:compatExt spid="_x0000_s141323"/>
                </a:ext>
                <a:ext uri="{FF2B5EF4-FFF2-40B4-BE49-F238E27FC236}">
                  <a16:creationId xmlns:a16="http://schemas.microsoft.com/office/drawing/2014/main" id="{00000000-0008-0000-0A00-00000B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1324" name="Option Button 12" hidden="1">
              <a:extLst>
                <a:ext uri="{63B3BB69-23CF-44E3-9099-C40C66FF867C}">
                  <a14:compatExt spid="_x0000_s141324"/>
                </a:ext>
                <a:ext uri="{FF2B5EF4-FFF2-40B4-BE49-F238E27FC236}">
                  <a16:creationId xmlns:a16="http://schemas.microsoft.com/office/drawing/2014/main" id="{00000000-0008-0000-0A00-00000C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1325" name="Group Box 13" hidden="1">
              <a:extLst>
                <a:ext uri="{63B3BB69-23CF-44E3-9099-C40C66FF867C}">
                  <a14:compatExt spid="_x0000_s141325"/>
                </a:ext>
                <a:ext uri="{FF2B5EF4-FFF2-40B4-BE49-F238E27FC236}">
                  <a16:creationId xmlns:a16="http://schemas.microsoft.com/office/drawing/2014/main" id="{00000000-0008-0000-0A00-00000D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1326" name="Option Button 14" hidden="1">
              <a:extLst>
                <a:ext uri="{63B3BB69-23CF-44E3-9099-C40C66FF867C}">
                  <a14:compatExt spid="_x0000_s141326"/>
                </a:ext>
                <a:ext uri="{FF2B5EF4-FFF2-40B4-BE49-F238E27FC236}">
                  <a16:creationId xmlns:a16="http://schemas.microsoft.com/office/drawing/2014/main" id="{00000000-0008-0000-0A00-00000E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1327" name="Option Button 15" hidden="1">
              <a:extLst>
                <a:ext uri="{63B3BB69-23CF-44E3-9099-C40C66FF867C}">
                  <a14:compatExt spid="_x0000_s141327"/>
                </a:ext>
                <a:ext uri="{FF2B5EF4-FFF2-40B4-BE49-F238E27FC236}">
                  <a16:creationId xmlns:a16="http://schemas.microsoft.com/office/drawing/2014/main" id="{00000000-0008-0000-0A00-00000F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1328" name="Check Box 16" hidden="1">
              <a:extLst>
                <a:ext uri="{63B3BB69-23CF-44E3-9099-C40C66FF867C}">
                  <a14:compatExt spid="_x0000_s141328"/>
                </a:ext>
                <a:ext uri="{FF2B5EF4-FFF2-40B4-BE49-F238E27FC236}">
                  <a16:creationId xmlns:a16="http://schemas.microsoft.com/office/drawing/2014/main" id="{00000000-0008-0000-0A00-000010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1329" name="Group Box 17" hidden="1">
              <a:extLst>
                <a:ext uri="{63B3BB69-23CF-44E3-9099-C40C66FF867C}">
                  <a14:compatExt spid="_x0000_s141329"/>
                </a:ext>
                <a:ext uri="{FF2B5EF4-FFF2-40B4-BE49-F238E27FC236}">
                  <a16:creationId xmlns:a16="http://schemas.microsoft.com/office/drawing/2014/main" id="{00000000-0008-0000-0A00-000011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1330" name="Option Button 18" hidden="1">
              <a:extLst>
                <a:ext uri="{63B3BB69-23CF-44E3-9099-C40C66FF867C}">
                  <a14:compatExt spid="_x0000_s141330"/>
                </a:ext>
                <a:ext uri="{FF2B5EF4-FFF2-40B4-BE49-F238E27FC236}">
                  <a16:creationId xmlns:a16="http://schemas.microsoft.com/office/drawing/2014/main" id="{00000000-0008-0000-0A00-00001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1331" name="Option Button 19" hidden="1">
              <a:extLst>
                <a:ext uri="{63B3BB69-23CF-44E3-9099-C40C66FF867C}">
                  <a14:compatExt spid="_x0000_s141331"/>
                </a:ext>
                <a:ext uri="{FF2B5EF4-FFF2-40B4-BE49-F238E27FC236}">
                  <a16:creationId xmlns:a16="http://schemas.microsoft.com/office/drawing/2014/main" id="{00000000-0008-0000-0A00-00001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1332" name="Group Box 20" hidden="1">
              <a:extLst>
                <a:ext uri="{63B3BB69-23CF-44E3-9099-C40C66FF867C}">
                  <a14:compatExt spid="_x0000_s141332"/>
                </a:ext>
                <a:ext uri="{FF2B5EF4-FFF2-40B4-BE49-F238E27FC236}">
                  <a16:creationId xmlns:a16="http://schemas.microsoft.com/office/drawing/2014/main" id="{00000000-0008-0000-0A00-000014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1333" name="Group Box 21" hidden="1">
              <a:extLst>
                <a:ext uri="{63B3BB69-23CF-44E3-9099-C40C66FF867C}">
                  <a14:compatExt spid="_x0000_s141333"/>
                </a:ext>
                <a:ext uri="{FF2B5EF4-FFF2-40B4-BE49-F238E27FC236}">
                  <a16:creationId xmlns:a16="http://schemas.microsoft.com/office/drawing/2014/main" id="{00000000-0008-0000-0A00-000015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1334" name="Option Button 22" hidden="1">
              <a:extLst>
                <a:ext uri="{63B3BB69-23CF-44E3-9099-C40C66FF867C}">
                  <a14:compatExt spid="_x0000_s141334"/>
                </a:ext>
                <a:ext uri="{FF2B5EF4-FFF2-40B4-BE49-F238E27FC236}">
                  <a16:creationId xmlns:a16="http://schemas.microsoft.com/office/drawing/2014/main" id="{00000000-0008-0000-0A00-00001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1335" name="Option Button 23" hidden="1">
              <a:extLst>
                <a:ext uri="{63B3BB69-23CF-44E3-9099-C40C66FF867C}">
                  <a14:compatExt spid="_x0000_s141335"/>
                </a:ext>
                <a:ext uri="{FF2B5EF4-FFF2-40B4-BE49-F238E27FC236}">
                  <a16:creationId xmlns:a16="http://schemas.microsoft.com/office/drawing/2014/main" id="{00000000-0008-0000-0A00-00001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1336" name="Option Button 24" hidden="1">
              <a:extLst>
                <a:ext uri="{63B3BB69-23CF-44E3-9099-C40C66FF867C}">
                  <a14:compatExt spid="_x0000_s141336"/>
                </a:ext>
                <a:ext uri="{FF2B5EF4-FFF2-40B4-BE49-F238E27FC236}">
                  <a16:creationId xmlns:a16="http://schemas.microsoft.com/office/drawing/2014/main" id="{00000000-0008-0000-0A00-00001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1337" name="Option Button 25" hidden="1">
              <a:extLst>
                <a:ext uri="{63B3BB69-23CF-44E3-9099-C40C66FF867C}">
                  <a14:compatExt spid="_x0000_s141337"/>
                </a:ext>
                <a:ext uri="{FF2B5EF4-FFF2-40B4-BE49-F238E27FC236}">
                  <a16:creationId xmlns:a16="http://schemas.microsoft.com/office/drawing/2014/main" id="{00000000-0008-0000-0A00-00001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393" name="Group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394" name="Option Button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2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2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2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2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430" name="Group Box 94" hidden="1">
              <a:extLst>
                <a:ext uri="{63B3BB69-23CF-44E3-9099-C40C66FF867C}">
                  <a14:compatExt spid="_x0000_s14430"/>
                </a:ext>
                <a:ext uri="{FF2B5EF4-FFF2-40B4-BE49-F238E27FC236}">
                  <a16:creationId xmlns:a16="http://schemas.microsoft.com/office/drawing/2014/main" id="{00000000-0008-0000-0200-00005E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437" name="Group Box 101" hidden="1">
              <a:extLst>
                <a:ext uri="{63B3BB69-23CF-44E3-9099-C40C66FF867C}">
                  <a14:compatExt spid="_x0000_s14437"/>
                </a:ext>
                <a:ext uri="{FF2B5EF4-FFF2-40B4-BE49-F238E27FC236}">
                  <a16:creationId xmlns:a16="http://schemas.microsoft.com/office/drawing/2014/main" id="{00000000-0008-0000-0200-00006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438" name="Option Button 102" hidden="1">
              <a:extLst>
                <a:ext uri="{63B3BB69-23CF-44E3-9099-C40C66FF867C}">
                  <a14:compatExt spid="_x0000_s14438"/>
                </a:ext>
                <a:ext uri="{FF2B5EF4-FFF2-40B4-BE49-F238E27FC236}">
                  <a16:creationId xmlns:a16="http://schemas.microsoft.com/office/drawing/2014/main" id="{00000000-0008-0000-02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439" name="Option Button 103" hidden="1">
              <a:extLst>
                <a:ext uri="{63B3BB69-23CF-44E3-9099-C40C66FF867C}">
                  <a14:compatExt spid="_x0000_s14439"/>
                </a:ext>
                <a:ext uri="{FF2B5EF4-FFF2-40B4-BE49-F238E27FC236}">
                  <a16:creationId xmlns:a16="http://schemas.microsoft.com/office/drawing/2014/main" id="{00000000-0008-0000-02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442" name="Option Button 106" hidden="1">
              <a:extLst>
                <a:ext uri="{63B3BB69-23CF-44E3-9099-C40C66FF867C}">
                  <a14:compatExt spid="_x0000_s14442"/>
                </a:ext>
                <a:ext uri="{FF2B5EF4-FFF2-40B4-BE49-F238E27FC236}">
                  <a16:creationId xmlns:a16="http://schemas.microsoft.com/office/drawing/2014/main" id="{00000000-0008-0000-02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443" name="Option Button 107" hidden="1">
              <a:extLst>
                <a:ext uri="{63B3BB69-23CF-44E3-9099-C40C66FF867C}">
                  <a14:compatExt spid="_x0000_s14443"/>
                </a:ext>
                <a:ext uri="{FF2B5EF4-FFF2-40B4-BE49-F238E27FC236}">
                  <a16:creationId xmlns:a16="http://schemas.microsoft.com/office/drawing/2014/main" id="{00000000-0008-0000-02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4145" name="Group Box 1" hidden="1">
              <a:extLst>
                <a:ext uri="{63B3BB69-23CF-44E3-9099-C40C66FF867C}">
                  <a14:compatExt spid="_x0000_s134145"/>
                </a:ext>
                <a:ext uri="{FF2B5EF4-FFF2-40B4-BE49-F238E27FC236}">
                  <a16:creationId xmlns:a16="http://schemas.microsoft.com/office/drawing/2014/main" id="{00000000-0008-0000-0300-00000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4146" name="Option Button 2" hidden="1">
              <a:extLst>
                <a:ext uri="{63B3BB69-23CF-44E3-9099-C40C66FF867C}">
                  <a14:compatExt spid="_x0000_s134146"/>
                </a:ext>
                <a:ext uri="{FF2B5EF4-FFF2-40B4-BE49-F238E27FC236}">
                  <a16:creationId xmlns:a16="http://schemas.microsoft.com/office/drawing/2014/main" id="{00000000-0008-0000-0300-00000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4147" name="Option Button 3" hidden="1">
              <a:extLst>
                <a:ext uri="{63B3BB69-23CF-44E3-9099-C40C66FF867C}">
                  <a14:compatExt spid="_x0000_s134147"/>
                </a:ext>
                <a:ext uri="{FF2B5EF4-FFF2-40B4-BE49-F238E27FC236}">
                  <a16:creationId xmlns:a16="http://schemas.microsoft.com/office/drawing/2014/main" id="{00000000-0008-0000-0300-00000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4148" name="Group Box 4" hidden="1">
              <a:extLst>
                <a:ext uri="{63B3BB69-23CF-44E3-9099-C40C66FF867C}">
                  <a14:compatExt spid="_x0000_s134148"/>
                </a:ext>
                <a:ext uri="{FF2B5EF4-FFF2-40B4-BE49-F238E27FC236}">
                  <a16:creationId xmlns:a16="http://schemas.microsoft.com/office/drawing/2014/main" id="{00000000-0008-0000-0300-00000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4149" name="Option Button 5" hidden="1">
              <a:extLst>
                <a:ext uri="{63B3BB69-23CF-44E3-9099-C40C66FF867C}">
                  <a14:compatExt spid="_x0000_s134149"/>
                </a:ext>
                <a:ext uri="{FF2B5EF4-FFF2-40B4-BE49-F238E27FC236}">
                  <a16:creationId xmlns:a16="http://schemas.microsoft.com/office/drawing/2014/main" id="{00000000-0008-0000-0300-000005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4150" name="Option Button 6" hidden="1">
              <a:extLst>
                <a:ext uri="{63B3BB69-23CF-44E3-9099-C40C66FF867C}">
                  <a14:compatExt spid="_x0000_s134150"/>
                </a:ext>
                <a:ext uri="{FF2B5EF4-FFF2-40B4-BE49-F238E27FC236}">
                  <a16:creationId xmlns:a16="http://schemas.microsoft.com/office/drawing/2014/main" id="{00000000-0008-0000-0300-00000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4151" name="Group Box 7" hidden="1">
              <a:extLst>
                <a:ext uri="{63B3BB69-23CF-44E3-9099-C40C66FF867C}">
                  <a14:compatExt spid="_x0000_s134151"/>
                </a:ext>
                <a:ext uri="{FF2B5EF4-FFF2-40B4-BE49-F238E27FC236}">
                  <a16:creationId xmlns:a16="http://schemas.microsoft.com/office/drawing/2014/main" id="{00000000-0008-0000-0300-000007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4152" name="Option Button 8" hidden="1">
              <a:extLst>
                <a:ext uri="{63B3BB69-23CF-44E3-9099-C40C66FF867C}">
                  <a14:compatExt spid="_x0000_s134152"/>
                </a:ext>
                <a:ext uri="{FF2B5EF4-FFF2-40B4-BE49-F238E27FC236}">
                  <a16:creationId xmlns:a16="http://schemas.microsoft.com/office/drawing/2014/main" id="{00000000-0008-0000-0300-00000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4153" name="Option Button 9" hidden="1">
              <a:extLst>
                <a:ext uri="{63B3BB69-23CF-44E3-9099-C40C66FF867C}">
                  <a14:compatExt spid="_x0000_s134153"/>
                </a:ext>
                <a:ext uri="{FF2B5EF4-FFF2-40B4-BE49-F238E27FC236}">
                  <a16:creationId xmlns:a16="http://schemas.microsoft.com/office/drawing/2014/main" id="{00000000-0008-0000-0300-00000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4154" name="Group Box 10" hidden="1">
              <a:extLst>
                <a:ext uri="{63B3BB69-23CF-44E3-9099-C40C66FF867C}">
                  <a14:compatExt spid="_x0000_s134154"/>
                </a:ext>
                <a:ext uri="{FF2B5EF4-FFF2-40B4-BE49-F238E27FC236}">
                  <a16:creationId xmlns:a16="http://schemas.microsoft.com/office/drawing/2014/main" id="{00000000-0008-0000-0300-00000A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4155" name="Option Button 11" hidden="1">
              <a:extLst>
                <a:ext uri="{63B3BB69-23CF-44E3-9099-C40C66FF867C}">
                  <a14:compatExt spid="_x0000_s134155"/>
                </a:ext>
                <a:ext uri="{FF2B5EF4-FFF2-40B4-BE49-F238E27FC236}">
                  <a16:creationId xmlns:a16="http://schemas.microsoft.com/office/drawing/2014/main" id="{00000000-0008-0000-0300-00000B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4156" name="Option Button 12" hidden="1">
              <a:extLst>
                <a:ext uri="{63B3BB69-23CF-44E3-9099-C40C66FF867C}">
                  <a14:compatExt spid="_x0000_s134156"/>
                </a:ext>
                <a:ext uri="{FF2B5EF4-FFF2-40B4-BE49-F238E27FC236}">
                  <a16:creationId xmlns:a16="http://schemas.microsoft.com/office/drawing/2014/main" id="{00000000-0008-0000-0300-00000C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4157" name="Group Box 13" hidden="1">
              <a:extLst>
                <a:ext uri="{63B3BB69-23CF-44E3-9099-C40C66FF867C}">
                  <a14:compatExt spid="_x0000_s134157"/>
                </a:ext>
                <a:ext uri="{FF2B5EF4-FFF2-40B4-BE49-F238E27FC236}">
                  <a16:creationId xmlns:a16="http://schemas.microsoft.com/office/drawing/2014/main" id="{00000000-0008-0000-0300-00000D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4158" name="Option Button 14" hidden="1">
              <a:extLst>
                <a:ext uri="{63B3BB69-23CF-44E3-9099-C40C66FF867C}">
                  <a14:compatExt spid="_x0000_s134158"/>
                </a:ext>
                <a:ext uri="{FF2B5EF4-FFF2-40B4-BE49-F238E27FC236}">
                  <a16:creationId xmlns:a16="http://schemas.microsoft.com/office/drawing/2014/main" id="{00000000-0008-0000-0300-00000E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4159" name="Option Button 15" hidden="1">
              <a:extLst>
                <a:ext uri="{63B3BB69-23CF-44E3-9099-C40C66FF867C}">
                  <a14:compatExt spid="_x0000_s134159"/>
                </a:ext>
                <a:ext uri="{FF2B5EF4-FFF2-40B4-BE49-F238E27FC236}">
                  <a16:creationId xmlns:a16="http://schemas.microsoft.com/office/drawing/2014/main" id="{00000000-0008-0000-0300-00000F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4160" name="Check Box 16" hidden="1">
              <a:extLst>
                <a:ext uri="{63B3BB69-23CF-44E3-9099-C40C66FF867C}">
                  <a14:compatExt spid="_x0000_s134160"/>
                </a:ext>
                <a:ext uri="{FF2B5EF4-FFF2-40B4-BE49-F238E27FC236}">
                  <a16:creationId xmlns:a16="http://schemas.microsoft.com/office/drawing/2014/main" id="{00000000-0008-0000-0300-000010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4161" name="Group Box 17" hidden="1">
              <a:extLst>
                <a:ext uri="{63B3BB69-23CF-44E3-9099-C40C66FF867C}">
                  <a14:compatExt spid="_x0000_s134161"/>
                </a:ext>
                <a:ext uri="{FF2B5EF4-FFF2-40B4-BE49-F238E27FC236}">
                  <a16:creationId xmlns:a16="http://schemas.microsoft.com/office/drawing/2014/main" id="{00000000-0008-0000-0300-00001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4162" name="Option Button 18" hidden="1">
              <a:extLst>
                <a:ext uri="{63B3BB69-23CF-44E3-9099-C40C66FF867C}">
                  <a14:compatExt spid="_x0000_s134162"/>
                </a:ext>
                <a:ext uri="{FF2B5EF4-FFF2-40B4-BE49-F238E27FC236}">
                  <a16:creationId xmlns:a16="http://schemas.microsoft.com/office/drawing/2014/main" id="{00000000-0008-0000-0300-00001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4163" name="Option Button 19" hidden="1">
              <a:extLst>
                <a:ext uri="{63B3BB69-23CF-44E3-9099-C40C66FF867C}">
                  <a14:compatExt spid="_x0000_s134163"/>
                </a:ext>
                <a:ext uri="{FF2B5EF4-FFF2-40B4-BE49-F238E27FC236}">
                  <a16:creationId xmlns:a16="http://schemas.microsoft.com/office/drawing/2014/main" id="{00000000-0008-0000-0300-00001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4164" name="Group Box 20" hidden="1">
              <a:extLst>
                <a:ext uri="{63B3BB69-23CF-44E3-9099-C40C66FF867C}">
                  <a14:compatExt spid="_x0000_s134164"/>
                </a:ext>
                <a:ext uri="{FF2B5EF4-FFF2-40B4-BE49-F238E27FC236}">
                  <a16:creationId xmlns:a16="http://schemas.microsoft.com/office/drawing/2014/main" id="{00000000-0008-0000-0300-00001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4165" name="Group Box 21" hidden="1">
              <a:extLst>
                <a:ext uri="{63B3BB69-23CF-44E3-9099-C40C66FF867C}">
                  <a14:compatExt spid="_x0000_s134165"/>
                </a:ext>
                <a:ext uri="{FF2B5EF4-FFF2-40B4-BE49-F238E27FC236}">
                  <a16:creationId xmlns:a16="http://schemas.microsoft.com/office/drawing/2014/main" id="{00000000-0008-0000-0300-000015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4166" name="Option Button 22" hidden="1">
              <a:extLst>
                <a:ext uri="{63B3BB69-23CF-44E3-9099-C40C66FF867C}">
                  <a14:compatExt spid="_x0000_s134166"/>
                </a:ext>
                <a:ext uri="{FF2B5EF4-FFF2-40B4-BE49-F238E27FC236}">
                  <a16:creationId xmlns:a16="http://schemas.microsoft.com/office/drawing/2014/main" id="{00000000-0008-0000-0300-00001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4167" name="Option Button 23" hidden="1">
              <a:extLst>
                <a:ext uri="{63B3BB69-23CF-44E3-9099-C40C66FF867C}">
                  <a14:compatExt spid="_x0000_s134167"/>
                </a:ext>
                <a:ext uri="{FF2B5EF4-FFF2-40B4-BE49-F238E27FC236}">
                  <a16:creationId xmlns:a16="http://schemas.microsoft.com/office/drawing/2014/main" id="{00000000-0008-0000-0300-000017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4168" name="Option Button 24" hidden="1">
              <a:extLst>
                <a:ext uri="{63B3BB69-23CF-44E3-9099-C40C66FF867C}">
                  <a14:compatExt spid="_x0000_s134168"/>
                </a:ext>
                <a:ext uri="{FF2B5EF4-FFF2-40B4-BE49-F238E27FC236}">
                  <a16:creationId xmlns:a16="http://schemas.microsoft.com/office/drawing/2014/main" id="{00000000-0008-0000-0300-00001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4169" name="Option Button 25" hidden="1">
              <a:extLst>
                <a:ext uri="{63B3BB69-23CF-44E3-9099-C40C66FF867C}">
                  <a14:compatExt spid="_x0000_s134169"/>
                </a:ext>
                <a:ext uri="{FF2B5EF4-FFF2-40B4-BE49-F238E27FC236}">
                  <a16:creationId xmlns:a16="http://schemas.microsoft.com/office/drawing/2014/main" id="{00000000-0008-0000-0300-00001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5169" name="Group Box 1" hidden="1">
              <a:extLst>
                <a:ext uri="{63B3BB69-23CF-44E3-9099-C40C66FF867C}">
                  <a14:compatExt spid="_x0000_s135169"/>
                </a:ext>
                <a:ext uri="{FF2B5EF4-FFF2-40B4-BE49-F238E27FC236}">
                  <a16:creationId xmlns:a16="http://schemas.microsoft.com/office/drawing/2014/main" id="{00000000-0008-0000-0400-00000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5170" name="Option Button 2" hidden="1">
              <a:extLst>
                <a:ext uri="{63B3BB69-23CF-44E3-9099-C40C66FF867C}">
                  <a14:compatExt spid="_x0000_s135170"/>
                </a:ext>
                <a:ext uri="{FF2B5EF4-FFF2-40B4-BE49-F238E27FC236}">
                  <a16:creationId xmlns:a16="http://schemas.microsoft.com/office/drawing/2014/main" id="{00000000-0008-0000-0400-00000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5171" name="Option Button 3" hidden="1">
              <a:extLst>
                <a:ext uri="{63B3BB69-23CF-44E3-9099-C40C66FF867C}">
                  <a14:compatExt spid="_x0000_s135171"/>
                </a:ext>
                <a:ext uri="{FF2B5EF4-FFF2-40B4-BE49-F238E27FC236}">
                  <a16:creationId xmlns:a16="http://schemas.microsoft.com/office/drawing/2014/main" id="{00000000-0008-0000-0400-00000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5172" name="Group Box 4" hidden="1">
              <a:extLst>
                <a:ext uri="{63B3BB69-23CF-44E3-9099-C40C66FF867C}">
                  <a14:compatExt spid="_x0000_s135172"/>
                </a:ext>
                <a:ext uri="{FF2B5EF4-FFF2-40B4-BE49-F238E27FC236}">
                  <a16:creationId xmlns:a16="http://schemas.microsoft.com/office/drawing/2014/main" id="{00000000-0008-0000-0400-00000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5173" name="Option Button 5" hidden="1">
              <a:extLst>
                <a:ext uri="{63B3BB69-23CF-44E3-9099-C40C66FF867C}">
                  <a14:compatExt spid="_x0000_s135173"/>
                </a:ext>
                <a:ext uri="{FF2B5EF4-FFF2-40B4-BE49-F238E27FC236}">
                  <a16:creationId xmlns:a16="http://schemas.microsoft.com/office/drawing/2014/main" id="{00000000-0008-0000-0400-00000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5174" name="Option Button 6" hidden="1">
              <a:extLst>
                <a:ext uri="{63B3BB69-23CF-44E3-9099-C40C66FF867C}">
                  <a14:compatExt spid="_x0000_s135174"/>
                </a:ext>
                <a:ext uri="{FF2B5EF4-FFF2-40B4-BE49-F238E27FC236}">
                  <a16:creationId xmlns:a16="http://schemas.microsoft.com/office/drawing/2014/main" id="{00000000-0008-0000-0400-00000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5175" name="Group Box 7" hidden="1">
              <a:extLst>
                <a:ext uri="{63B3BB69-23CF-44E3-9099-C40C66FF867C}">
                  <a14:compatExt spid="_x0000_s135175"/>
                </a:ext>
                <a:ext uri="{FF2B5EF4-FFF2-40B4-BE49-F238E27FC236}">
                  <a16:creationId xmlns:a16="http://schemas.microsoft.com/office/drawing/2014/main" id="{00000000-0008-0000-0400-000007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5176" name="Option Button 8" hidden="1">
              <a:extLst>
                <a:ext uri="{63B3BB69-23CF-44E3-9099-C40C66FF867C}">
                  <a14:compatExt spid="_x0000_s135176"/>
                </a:ext>
                <a:ext uri="{FF2B5EF4-FFF2-40B4-BE49-F238E27FC236}">
                  <a16:creationId xmlns:a16="http://schemas.microsoft.com/office/drawing/2014/main" id="{00000000-0008-0000-0400-00000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5177" name="Option Button 9" hidden="1">
              <a:extLst>
                <a:ext uri="{63B3BB69-23CF-44E3-9099-C40C66FF867C}">
                  <a14:compatExt spid="_x0000_s135177"/>
                </a:ext>
                <a:ext uri="{FF2B5EF4-FFF2-40B4-BE49-F238E27FC236}">
                  <a16:creationId xmlns:a16="http://schemas.microsoft.com/office/drawing/2014/main" id="{00000000-0008-0000-0400-00000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5178" name="Group Box 10" hidden="1">
              <a:extLst>
                <a:ext uri="{63B3BB69-23CF-44E3-9099-C40C66FF867C}">
                  <a14:compatExt spid="_x0000_s135178"/>
                </a:ext>
                <a:ext uri="{FF2B5EF4-FFF2-40B4-BE49-F238E27FC236}">
                  <a16:creationId xmlns:a16="http://schemas.microsoft.com/office/drawing/2014/main" id="{00000000-0008-0000-0400-00000A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5179" name="Option Button 11" hidden="1">
              <a:extLst>
                <a:ext uri="{63B3BB69-23CF-44E3-9099-C40C66FF867C}">
                  <a14:compatExt spid="_x0000_s135179"/>
                </a:ext>
                <a:ext uri="{FF2B5EF4-FFF2-40B4-BE49-F238E27FC236}">
                  <a16:creationId xmlns:a16="http://schemas.microsoft.com/office/drawing/2014/main" id="{00000000-0008-0000-0400-00000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5180" name="Option Button 12" hidden="1">
              <a:extLst>
                <a:ext uri="{63B3BB69-23CF-44E3-9099-C40C66FF867C}">
                  <a14:compatExt spid="_x0000_s135180"/>
                </a:ext>
                <a:ext uri="{FF2B5EF4-FFF2-40B4-BE49-F238E27FC236}">
                  <a16:creationId xmlns:a16="http://schemas.microsoft.com/office/drawing/2014/main" id="{00000000-0008-0000-0400-00000C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5181" name="Group Box 13" hidden="1">
              <a:extLst>
                <a:ext uri="{63B3BB69-23CF-44E3-9099-C40C66FF867C}">
                  <a14:compatExt spid="_x0000_s135181"/>
                </a:ext>
                <a:ext uri="{FF2B5EF4-FFF2-40B4-BE49-F238E27FC236}">
                  <a16:creationId xmlns:a16="http://schemas.microsoft.com/office/drawing/2014/main" id="{00000000-0008-0000-0400-00000D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5182" name="Option Button 14" hidden="1">
              <a:extLst>
                <a:ext uri="{63B3BB69-23CF-44E3-9099-C40C66FF867C}">
                  <a14:compatExt spid="_x0000_s135182"/>
                </a:ext>
                <a:ext uri="{FF2B5EF4-FFF2-40B4-BE49-F238E27FC236}">
                  <a16:creationId xmlns:a16="http://schemas.microsoft.com/office/drawing/2014/main" id="{00000000-0008-0000-0400-00000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5183" name="Option Button 15" hidden="1">
              <a:extLst>
                <a:ext uri="{63B3BB69-23CF-44E3-9099-C40C66FF867C}">
                  <a14:compatExt spid="_x0000_s135183"/>
                </a:ext>
                <a:ext uri="{FF2B5EF4-FFF2-40B4-BE49-F238E27FC236}">
                  <a16:creationId xmlns:a16="http://schemas.microsoft.com/office/drawing/2014/main" id="{00000000-0008-0000-0400-00000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5184" name="Check Box 16" hidden="1">
              <a:extLst>
                <a:ext uri="{63B3BB69-23CF-44E3-9099-C40C66FF867C}">
                  <a14:compatExt spid="_x0000_s135184"/>
                </a:ext>
                <a:ext uri="{FF2B5EF4-FFF2-40B4-BE49-F238E27FC236}">
                  <a16:creationId xmlns:a16="http://schemas.microsoft.com/office/drawing/2014/main" id="{00000000-0008-0000-0400-00001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5185" name="Group Box 17" hidden="1">
              <a:extLst>
                <a:ext uri="{63B3BB69-23CF-44E3-9099-C40C66FF867C}">
                  <a14:compatExt spid="_x0000_s135185"/>
                </a:ext>
                <a:ext uri="{FF2B5EF4-FFF2-40B4-BE49-F238E27FC236}">
                  <a16:creationId xmlns:a16="http://schemas.microsoft.com/office/drawing/2014/main" id="{00000000-0008-0000-0400-00001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5186" name="Option Button 18" hidden="1">
              <a:extLst>
                <a:ext uri="{63B3BB69-23CF-44E3-9099-C40C66FF867C}">
                  <a14:compatExt spid="_x0000_s135186"/>
                </a:ext>
                <a:ext uri="{FF2B5EF4-FFF2-40B4-BE49-F238E27FC236}">
                  <a16:creationId xmlns:a16="http://schemas.microsoft.com/office/drawing/2014/main" id="{00000000-0008-0000-0400-00001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5187" name="Option Button 19" hidden="1">
              <a:extLst>
                <a:ext uri="{63B3BB69-23CF-44E3-9099-C40C66FF867C}">
                  <a14:compatExt spid="_x0000_s135187"/>
                </a:ext>
                <a:ext uri="{FF2B5EF4-FFF2-40B4-BE49-F238E27FC236}">
                  <a16:creationId xmlns:a16="http://schemas.microsoft.com/office/drawing/2014/main" id="{00000000-0008-0000-0400-00001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5188" name="Group Box 20" hidden="1">
              <a:extLst>
                <a:ext uri="{63B3BB69-23CF-44E3-9099-C40C66FF867C}">
                  <a14:compatExt spid="_x0000_s135188"/>
                </a:ext>
                <a:ext uri="{FF2B5EF4-FFF2-40B4-BE49-F238E27FC236}">
                  <a16:creationId xmlns:a16="http://schemas.microsoft.com/office/drawing/2014/main" id="{00000000-0008-0000-0400-00001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5189" name="Group Box 21" hidden="1">
              <a:extLst>
                <a:ext uri="{63B3BB69-23CF-44E3-9099-C40C66FF867C}">
                  <a14:compatExt spid="_x0000_s135189"/>
                </a:ext>
                <a:ext uri="{FF2B5EF4-FFF2-40B4-BE49-F238E27FC236}">
                  <a16:creationId xmlns:a16="http://schemas.microsoft.com/office/drawing/2014/main" id="{00000000-0008-0000-0400-000015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5190" name="Option Button 22" hidden="1">
              <a:extLst>
                <a:ext uri="{63B3BB69-23CF-44E3-9099-C40C66FF867C}">
                  <a14:compatExt spid="_x0000_s135190"/>
                </a:ext>
                <a:ext uri="{FF2B5EF4-FFF2-40B4-BE49-F238E27FC236}">
                  <a16:creationId xmlns:a16="http://schemas.microsoft.com/office/drawing/2014/main" id="{00000000-0008-0000-0400-00001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5191" name="Option Button 23" hidden="1">
              <a:extLst>
                <a:ext uri="{63B3BB69-23CF-44E3-9099-C40C66FF867C}">
                  <a14:compatExt spid="_x0000_s135191"/>
                </a:ext>
                <a:ext uri="{FF2B5EF4-FFF2-40B4-BE49-F238E27FC236}">
                  <a16:creationId xmlns:a16="http://schemas.microsoft.com/office/drawing/2014/main" id="{00000000-0008-0000-0400-000017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5192" name="Option Button 24" hidden="1">
              <a:extLst>
                <a:ext uri="{63B3BB69-23CF-44E3-9099-C40C66FF867C}">
                  <a14:compatExt spid="_x0000_s135192"/>
                </a:ext>
                <a:ext uri="{FF2B5EF4-FFF2-40B4-BE49-F238E27FC236}">
                  <a16:creationId xmlns:a16="http://schemas.microsoft.com/office/drawing/2014/main" id="{00000000-0008-0000-0400-00001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5193" name="Option Button 25" hidden="1">
              <a:extLst>
                <a:ext uri="{63B3BB69-23CF-44E3-9099-C40C66FF867C}">
                  <a14:compatExt spid="_x0000_s135193"/>
                </a:ext>
                <a:ext uri="{FF2B5EF4-FFF2-40B4-BE49-F238E27FC236}">
                  <a16:creationId xmlns:a16="http://schemas.microsoft.com/office/drawing/2014/main" id="{00000000-0008-0000-0400-00001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6193" name="Group Box 1" hidden="1">
              <a:extLst>
                <a:ext uri="{63B3BB69-23CF-44E3-9099-C40C66FF867C}">
                  <a14:compatExt spid="_x0000_s136193"/>
                </a:ext>
                <a:ext uri="{FF2B5EF4-FFF2-40B4-BE49-F238E27FC236}">
                  <a16:creationId xmlns:a16="http://schemas.microsoft.com/office/drawing/2014/main" id="{00000000-0008-0000-0500-00000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6194" name="Option Button 2" hidden="1">
              <a:extLst>
                <a:ext uri="{63B3BB69-23CF-44E3-9099-C40C66FF867C}">
                  <a14:compatExt spid="_x0000_s136194"/>
                </a:ext>
                <a:ext uri="{FF2B5EF4-FFF2-40B4-BE49-F238E27FC236}">
                  <a16:creationId xmlns:a16="http://schemas.microsoft.com/office/drawing/2014/main" id="{00000000-0008-0000-0500-00000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6195" name="Option Button 3" hidden="1">
              <a:extLst>
                <a:ext uri="{63B3BB69-23CF-44E3-9099-C40C66FF867C}">
                  <a14:compatExt spid="_x0000_s136195"/>
                </a:ext>
                <a:ext uri="{FF2B5EF4-FFF2-40B4-BE49-F238E27FC236}">
                  <a16:creationId xmlns:a16="http://schemas.microsoft.com/office/drawing/2014/main" id="{00000000-0008-0000-0500-00000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6196" name="Group Box 4" hidden="1">
              <a:extLst>
                <a:ext uri="{63B3BB69-23CF-44E3-9099-C40C66FF867C}">
                  <a14:compatExt spid="_x0000_s136196"/>
                </a:ext>
                <a:ext uri="{FF2B5EF4-FFF2-40B4-BE49-F238E27FC236}">
                  <a16:creationId xmlns:a16="http://schemas.microsoft.com/office/drawing/2014/main" id="{00000000-0008-0000-0500-00000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6197" name="Option Button 5" hidden="1">
              <a:extLst>
                <a:ext uri="{63B3BB69-23CF-44E3-9099-C40C66FF867C}">
                  <a14:compatExt spid="_x0000_s136197"/>
                </a:ext>
                <a:ext uri="{FF2B5EF4-FFF2-40B4-BE49-F238E27FC236}">
                  <a16:creationId xmlns:a16="http://schemas.microsoft.com/office/drawing/2014/main" id="{00000000-0008-0000-0500-00000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6198" name="Option Button 6" hidden="1">
              <a:extLst>
                <a:ext uri="{63B3BB69-23CF-44E3-9099-C40C66FF867C}">
                  <a14:compatExt spid="_x0000_s136198"/>
                </a:ext>
                <a:ext uri="{FF2B5EF4-FFF2-40B4-BE49-F238E27FC236}">
                  <a16:creationId xmlns:a16="http://schemas.microsoft.com/office/drawing/2014/main" id="{00000000-0008-0000-05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6199" name="Group Box 7" hidden="1">
              <a:extLst>
                <a:ext uri="{63B3BB69-23CF-44E3-9099-C40C66FF867C}">
                  <a14:compatExt spid="_x0000_s136199"/>
                </a:ext>
                <a:ext uri="{FF2B5EF4-FFF2-40B4-BE49-F238E27FC236}">
                  <a16:creationId xmlns:a16="http://schemas.microsoft.com/office/drawing/2014/main" id="{00000000-0008-0000-0500-000007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6200" name="Option Button 8" hidden="1">
              <a:extLst>
                <a:ext uri="{63B3BB69-23CF-44E3-9099-C40C66FF867C}">
                  <a14:compatExt spid="_x0000_s136200"/>
                </a:ext>
                <a:ext uri="{FF2B5EF4-FFF2-40B4-BE49-F238E27FC236}">
                  <a16:creationId xmlns:a16="http://schemas.microsoft.com/office/drawing/2014/main" id="{00000000-0008-0000-0500-00000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6201" name="Option Button 9" hidden="1">
              <a:extLst>
                <a:ext uri="{63B3BB69-23CF-44E3-9099-C40C66FF867C}">
                  <a14:compatExt spid="_x0000_s136201"/>
                </a:ext>
                <a:ext uri="{FF2B5EF4-FFF2-40B4-BE49-F238E27FC236}">
                  <a16:creationId xmlns:a16="http://schemas.microsoft.com/office/drawing/2014/main" id="{00000000-0008-0000-0500-00000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6202" name="Group Box 10" hidden="1">
              <a:extLst>
                <a:ext uri="{63B3BB69-23CF-44E3-9099-C40C66FF867C}">
                  <a14:compatExt spid="_x0000_s136202"/>
                </a:ext>
                <a:ext uri="{FF2B5EF4-FFF2-40B4-BE49-F238E27FC236}">
                  <a16:creationId xmlns:a16="http://schemas.microsoft.com/office/drawing/2014/main" id="{00000000-0008-0000-0500-00000A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6203" name="Option Button 11" hidden="1">
              <a:extLst>
                <a:ext uri="{63B3BB69-23CF-44E3-9099-C40C66FF867C}">
                  <a14:compatExt spid="_x0000_s136203"/>
                </a:ext>
                <a:ext uri="{FF2B5EF4-FFF2-40B4-BE49-F238E27FC236}">
                  <a16:creationId xmlns:a16="http://schemas.microsoft.com/office/drawing/2014/main" id="{00000000-0008-0000-0500-00000B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6204" name="Option Button 12" hidden="1">
              <a:extLst>
                <a:ext uri="{63B3BB69-23CF-44E3-9099-C40C66FF867C}">
                  <a14:compatExt spid="_x0000_s136204"/>
                </a:ext>
                <a:ext uri="{FF2B5EF4-FFF2-40B4-BE49-F238E27FC236}">
                  <a16:creationId xmlns:a16="http://schemas.microsoft.com/office/drawing/2014/main" id="{00000000-0008-0000-0500-00000C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6205" name="Group Box 13" hidden="1">
              <a:extLst>
                <a:ext uri="{63B3BB69-23CF-44E3-9099-C40C66FF867C}">
                  <a14:compatExt spid="_x0000_s136205"/>
                </a:ext>
                <a:ext uri="{FF2B5EF4-FFF2-40B4-BE49-F238E27FC236}">
                  <a16:creationId xmlns:a16="http://schemas.microsoft.com/office/drawing/2014/main" id="{00000000-0008-0000-0500-00000D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6206" name="Option Button 14" hidden="1">
              <a:extLst>
                <a:ext uri="{63B3BB69-23CF-44E3-9099-C40C66FF867C}">
                  <a14:compatExt spid="_x0000_s136206"/>
                </a:ext>
                <a:ext uri="{FF2B5EF4-FFF2-40B4-BE49-F238E27FC236}">
                  <a16:creationId xmlns:a16="http://schemas.microsoft.com/office/drawing/2014/main" id="{00000000-0008-0000-0500-00000E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6207" name="Option Button 15" hidden="1">
              <a:extLst>
                <a:ext uri="{63B3BB69-23CF-44E3-9099-C40C66FF867C}">
                  <a14:compatExt spid="_x0000_s136207"/>
                </a:ext>
                <a:ext uri="{FF2B5EF4-FFF2-40B4-BE49-F238E27FC236}">
                  <a16:creationId xmlns:a16="http://schemas.microsoft.com/office/drawing/2014/main" id="{00000000-0008-0000-0500-00000F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6208" name="Check Box 16" hidden="1">
              <a:extLst>
                <a:ext uri="{63B3BB69-23CF-44E3-9099-C40C66FF867C}">
                  <a14:compatExt spid="_x0000_s136208"/>
                </a:ext>
                <a:ext uri="{FF2B5EF4-FFF2-40B4-BE49-F238E27FC236}">
                  <a16:creationId xmlns:a16="http://schemas.microsoft.com/office/drawing/2014/main" id="{00000000-0008-0000-0500-000010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6209" name="Group Box 17" hidden="1">
              <a:extLst>
                <a:ext uri="{63B3BB69-23CF-44E3-9099-C40C66FF867C}">
                  <a14:compatExt spid="_x0000_s136209"/>
                </a:ext>
                <a:ext uri="{FF2B5EF4-FFF2-40B4-BE49-F238E27FC236}">
                  <a16:creationId xmlns:a16="http://schemas.microsoft.com/office/drawing/2014/main" id="{00000000-0008-0000-0500-00001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6210" name="Option Button 18" hidden="1">
              <a:extLst>
                <a:ext uri="{63B3BB69-23CF-44E3-9099-C40C66FF867C}">
                  <a14:compatExt spid="_x0000_s136210"/>
                </a:ext>
                <a:ext uri="{FF2B5EF4-FFF2-40B4-BE49-F238E27FC236}">
                  <a16:creationId xmlns:a16="http://schemas.microsoft.com/office/drawing/2014/main" id="{00000000-0008-0000-0500-00001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6211" name="Option Button 19" hidden="1">
              <a:extLst>
                <a:ext uri="{63B3BB69-23CF-44E3-9099-C40C66FF867C}">
                  <a14:compatExt spid="_x0000_s136211"/>
                </a:ext>
                <a:ext uri="{FF2B5EF4-FFF2-40B4-BE49-F238E27FC236}">
                  <a16:creationId xmlns:a16="http://schemas.microsoft.com/office/drawing/2014/main" id="{00000000-0008-0000-0500-00001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6212" name="Group Box 20" hidden="1">
              <a:extLst>
                <a:ext uri="{63B3BB69-23CF-44E3-9099-C40C66FF867C}">
                  <a14:compatExt spid="_x0000_s136212"/>
                </a:ext>
                <a:ext uri="{FF2B5EF4-FFF2-40B4-BE49-F238E27FC236}">
                  <a16:creationId xmlns:a16="http://schemas.microsoft.com/office/drawing/2014/main" id="{00000000-0008-0000-0500-00001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6213" name="Group Box 21" hidden="1">
              <a:extLst>
                <a:ext uri="{63B3BB69-23CF-44E3-9099-C40C66FF867C}">
                  <a14:compatExt spid="_x0000_s136213"/>
                </a:ext>
                <a:ext uri="{FF2B5EF4-FFF2-40B4-BE49-F238E27FC236}">
                  <a16:creationId xmlns:a16="http://schemas.microsoft.com/office/drawing/2014/main" id="{00000000-0008-0000-0500-000015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6214" name="Option Button 22" hidden="1">
              <a:extLst>
                <a:ext uri="{63B3BB69-23CF-44E3-9099-C40C66FF867C}">
                  <a14:compatExt spid="_x0000_s136214"/>
                </a:ext>
                <a:ext uri="{FF2B5EF4-FFF2-40B4-BE49-F238E27FC236}">
                  <a16:creationId xmlns:a16="http://schemas.microsoft.com/office/drawing/2014/main" id="{00000000-0008-0000-0500-00001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6215" name="Option Button 23" hidden="1">
              <a:extLst>
                <a:ext uri="{63B3BB69-23CF-44E3-9099-C40C66FF867C}">
                  <a14:compatExt spid="_x0000_s136215"/>
                </a:ext>
                <a:ext uri="{FF2B5EF4-FFF2-40B4-BE49-F238E27FC236}">
                  <a16:creationId xmlns:a16="http://schemas.microsoft.com/office/drawing/2014/main" id="{00000000-0008-0000-0500-00001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6216" name="Option Button 24" hidden="1">
              <a:extLst>
                <a:ext uri="{63B3BB69-23CF-44E3-9099-C40C66FF867C}">
                  <a14:compatExt spid="_x0000_s136216"/>
                </a:ext>
                <a:ext uri="{FF2B5EF4-FFF2-40B4-BE49-F238E27FC236}">
                  <a16:creationId xmlns:a16="http://schemas.microsoft.com/office/drawing/2014/main" id="{00000000-0008-0000-0500-00001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6217" name="Option Button 25" hidden="1">
              <a:extLst>
                <a:ext uri="{63B3BB69-23CF-44E3-9099-C40C66FF867C}">
                  <a14:compatExt spid="_x0000_s136217"/>
                </a:ext>
                <a:ext uri="{FF2B5EF4-FFF2-40B4-BE49-F238E27FC236}">
                  <a16:creationId xmlns:a16="http://schemas.microsoft.com/office/drawing/2014/main" id="{00000000-0008-0000-0500-00001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7217" name="Group Box 1" hidden="1">
              <a:extLst>
                <a:ext uri="{63B3BB69-23CF-44E3-9099-C40C66FF867C}">
                  <a14:compatExt spid="_x0000_s137217"/>
                </a:ext>
                <a:ext uri="{FF2B5EF4-FFF2-40B4-BE49-F238E27FC236}">
                  <a16:creationId xmlns:a16="http://schemas.microsoft.com/office/drawing/2014/main" id="{00000000-0008-0000-0600-00000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7218" name="Option Button 2" hidden="1">
              <a:extLst>
                <a:ext uri="{63B3BB69-23CF-44E3-9099-C40C66FF867C}">
                  <a14:compatExt spid="_x0000_s137218"/>
                </a:ext>
                <a:ext uri="{FF2B5EF4-FFF2-40B4-BE49-F238E27FC236}">
                  <a16:creationId xmlns:a16="http://schemas.microsoft.com/office/drawing/2014/main" id="{00000000-0008-0000-06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7219" name="Option Button 3" hidden="1">
              <a:extLst>
                <a:ext uri="{63B3BB69-23CF-44E3-9099-C40C66FF867C}">
                  <a14:compatExt spid="_x0000_s137219"/>
                </a:ext>
                <a:ext uri="{FF2B5EF4-FFF2-40B4-BE49-F238E27FC236}">
                  <a16:creationId xmlns:a16="http://schemas.microsoft.com/office/drawing/2014/main" id="{00000000-0008-0000-06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7220" name="Group Box 4" hidden="1">
              <a:extLst>
                <a:ext uri="{63B3BB69-23CF-44E3-9099-C40C66FF867C}">
                  <a14:compatExt spid="_x0000_s137220"/>
                </a:ext>
                <a:ext uri="{FF2B5EF4-FFF2-40B4-BE49-F238E27FC236}">
                  <a16:creationId xmlns:a16="http://schemas.microsoft.com/office/drawing/2014/main" id="{00000000-0008-0000-0600-00000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7221" name="Option Button 5" hidden="1">
              <a:extLst>
                <a:ext uri="{63B3BB69-23CF-44E3-9099-C40C66FF867C}">
                  <a14:compatExt spid="_x0000_s137221"/>
                </a:ext>
                <a:ext uri="{FF2B5EF4-FFF2-40B4-BE49-F238E27FC236}">
                  <a16:creationId xmlns:a16="http://schemas.microsoft.com/office/drawing/2014/main" id="{00000000-0008-0000-0600-000005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7222" name="Option Button 6" hidden="1">
              <a:extLst>
                <a:ext uri="{63B3BB69-23CF-44E3-9099-C40C66FF867C}">
                  <a14:compatExt spid="_x0000_s137222"/>
                </a:ext>
                <a:ext uri="{FF2B5EF4-FFF2-40B4-BE49-F238E27FC236}">
                  <a16:creationId xmlns:a16="http://schemas.microsoft.com/office/drawing/2014/main" id="{00000000-0008-0000-0600-00000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7223" name="Group Box 7" hidden="1">
              <a:extLst>
                <a:ext uri="{63B3BB69-23CF-44E3-9099-C40C66FF867C}">
                  <a14:compatExt spid="_x0000_s137223"/>
                </a:ext>
                <a:ext uri="{FF2B5EF4-FFF2-40B4-BE49-F238E27FC236}">
                  <a16:creationId xmlns:a16="http://schemas.microsoft.com/office/drawing/2014/main" id="{00000000-0008-0000-0600-000007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7224" name="Option Button 8" hidden="1">
              <a:extLst>
                <a:ext uri="{63B3BB69-23CF-44E3-9099-C40C66FF867C}">
                  <a14:compatExt spid="_x0000_s137224"/>
                </a:ext>
                <a:ext uri="{FF2B5EF4-FFF2-40B4-BE49-F238E27FC236}">
                  <a16:creationId xmlns:a16="http://schemas.microsoft.com/office/drawing/2014/main" id="{00000000-0008-0000-0600-00000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7225" name="Option Button 9" hidden="1">
              <a:extLst>
                <a:ext uri="{63B3BB69-23CF-44E3-9099-C40C66FF867C}">
                  <a14:compatExt spid="_x0000_s137225"/>
                </a:ext>
                <a:ext uri="{FF2B5EF4-FFF2-40B4-BE49-F238E27FC236}">
                  <a16:creationId xmlns:a16="http://schemas.microsoft.com/office/drawing/2014/main" id="{00000000-0008-0000-0600-00000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7226" name="Group Box 10" hidden="1">
              <a:extLst>
                <a:ext uri="{63B3BB69-23CF-44E3-9099-C40C66FF867C}">
                  <a14:compatExt spid="_x0000_s137226"/>
                </a:ext>
                <a:ext uri="{FF2B5EF4-FFF2-40B4-BE49-F238E27FC236}">
                  <a16:creationId xmlns:a16="http://schemas.microsoft.com/office/drawing/2014/main" id="{00000000-0008-0000-0600-00000A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7227" name="Option Button 11" hidden="1">
              <a:extLst>
                <a:ext uri="{63B3BB69-23CF-44E3-9099-C40C66FF867C}">
                  <a14:compatExt spid="_x0000_s137227"/>
                </a:ext>
                <a:ext uri="{FF2B5EF4-FFF2-40B4-BE49-F238E27FC236}">
                  <a16:creationId xmlns:a16="http://schemas.microsoft.com/office/drawing/2014/main" id="{00000000-0008-0000-0600-00000B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7228" name="Option Button 12" hidden="1">
              <a:extLst>
                <a:ext uri="{63B3BB69-23CF-44E3-9099-C40C66FF867C}">
                  <a14:compatExt spid="_x0000_s137228"/>
                </a:ext>
                <a:ext uri="{FF2B5EF4-FFF2-40B4-BE49-F238E27FC236}">
                  <a16:creationId xmlns:a16="http://schemas.microsoft.com/office/drawing/2014/main" id="{00000000-0008-0000-0600-00000C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7229" name="Group Box 13" hidden="1">
              <a:extLst>
                <a:ext uri="{63B3BB69-23CF-44E3-9099-C40C66FF867C}">
                  <a14:compatExt spid="_x0000_s137229"/>
                </a:ext>
                <a:ext uri="{FF2B5EF4-FFF2-40B4-BE49-F238E27FC236}">
                  <a16:creationId xmlns:a16="http://schemas.microsoft.com/office/drawing/2014/main" id="{00000000-0008-0000-0600-00000D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7230" name="Option Button 14" hidden="1">
              <a:extLst>
                <a:ext uri="{63B3BB69-23CF-44E3-9099-C40C66FF867C}">
                  <a14:compatExt spid="_x0000_s137230"/>
                </a:ext>
                <a:ext uri="{FF2B5EF4-FFF2-40B4-BE49-F238E27FC236}">
                  <a16:creationId xmlns:a16="http://schemas.microsoft.com/office/drawing/2014/main" id="{00000000-0008-0000-0600-00000E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7231" name="Option Button 15" hidden="1">
              <a:extLst>
                <a:ext uri="{63B3BB69-23CF-44E3-9099-C40C66FF867C}">
                  <a14:compatExt spid="_x0000_s137231"/>
                </a:ext>
                <a:ext uri="{FF2B5EF4-FFF2-40B4-BE49-F238E27FC236}">
                  <a16:creationId xmlns:a16="http://schemas.microsoft.com/office/drawing/2014/main" id="{00000000-0008-0000-0600-00000F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7232" name="Check Box 16" hidden="1">
              <a:extLst>
                <a:ext uri="{63B3BB69-23CF-44E3-9099-C40C66FF867C}">
                  <a14:compatExt spid="_x0000_s137232"/>
                </a:ext>
                <a:ext uri="{FF2B5EF4-FFF2-40B4-BE49-F238E27FC236}">
                  <a16:creationId xmlns:a16="http://schemas.microsoft.com/office/drawing/2014/main" id="{00000000-0008-0000-0600-000010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7233" name="Group Box 17" hidden="1">
              <a:extLst>
                <a:ext uri="{63B3BB69-23CF-44E3-9099-C40C66FF867C}">
                  <a14:compatExt spid="_x0000_s137233"/>
                </a:ext>
                <a:ext uri="{FF2B5EF4-FFF2-40B4-BE49-F238E27FC236}">
                  <a16:creationId xmlns:a16="http://schemas.microsoft.com/office/drawing/2014/main" id="{00000000-0008-0000-0600-00001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7234" name="Option Button 18" hidden="1">
              <a:extLst>
                <a:ext uri="{63B3BB69-23CF-44E3-9099-C40C66FF867C}">
                  <a14:compatExt spid="_x0000_s137234"/>
                </a:ext>
                <a:ext uri="{FF2B5EF4-FFF2-40B4-BE49-F238E27FC236}">
                  <a16:creationId xmlns:a16="http://schemas.microsoft.com/office/drawing/2014/main" id="{00000000-0008-0000-0600-00001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7235" name="Option Button 19" hidden="1">
              <a:extLst>
                <a:ext uri="{63B3BB69-23CF-44E3-9099-C40C66FF867C}">
                  <a14:compatExt spid="_x0000_s137235"/>
                </a:ext>
                <a:ext uri="{FF2B5EF4-FFF2-40B4-BE49-F238E27FC236}">
                  <a16:creationId xmlns:a16="http://schemas.microsoft.com/office/drawing/2014/main" id="{00000000-0008-0000-0600-00001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7236" name="Group Box 20" hidden="1">
              <a:extLst>
                <a:ext uri="{63B3BB69-23CF-44E3-9099-C40C66FF867C}">
                  <a14:compatExt spid="_x0000_s137236"/>
                </a:ext>
                <a:ext uri="{FF2B5EF4-FFF2-40B4-BE49-F238E27FC236}">
                  <a16:creationId xmlns:a16="http://schemas.microsoft.com/office/drawing/2014/main" id="{00000000-0008-0000-0600-00001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7237" name="Group Box 21" hidden="1">
              <a:extLst>
                <a:ext uri="{63B3BB69-23CF-44E3-9099-C40C66FF867C}">
                  <a14:compatExt spid="_x0000_s137237"/>
                </a:ext>
                <a:ext uri="{FF2B5EF4-FFF2-40B4-BE49-F238E27FC236}">
                  <a16:creationId xmlns:a16="http://schemas.microsoft.com/office/drawing/2014/main" id="{00000000-0008-0000-0600-000015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7238" name="Option Button 22" hidden="1">
              <a:extLst>
                <a:ext uri="{63B3BB69-23CF-44E3-9099-C40C66FF867C}">
                  <a14:compatExt spid="_x0000_s137238"/>
                </a:ext>
                <a:ext uri="{FF2B5EF4-FFF2-40B4-BE49-F238E27FC236}">
                  <a16:creationId xmlns:a16="http://schemas.microsoft.com/office/drawing/2014/main" id="{00000000-0008-0000-0600-00001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7239" name="Option Button 23" hidden="1">
              <a:extLst>
                <a:ext uri="{63B3BB69-23CF-44E3-9099-C40C66FF867C}">
                  <a14:compatExt spid="_x0000_s137239"/>
                </a:ext>
                <a:ext uri="{FF2B5EF4-FFF2-40B4-BE49-F238E27FC236}">
                  <a16:creationId xmlns:a16="http://schemas.microsoft.com/office/drawing/2014/main" id="{00000000-0008-0000-0600-000017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7240" name="Option Button 24" hidden="1">
              <a:extLst>
                <a:ext uri="{63B3BB69-23CF-44E3-9099-C40C66FF867C}">
                  <a14:compatExt spid="_x0000_s137240"/>
                </a:ext>
                <a:ext uri="{FF2B5EF4-FFF2-40B4-BE49-F238E27FC236}">
                  <a16:creationId xmlns:a16="http://schemas.microsoft.com/office/drawing/2014/main" id="{00000000-0008-0000-0600-00001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7241" name="Option Button 25" hidden="1">
              <a:extLst>
                <a:ext uri="{63B3BB69-23CF-44E3-9099-C40C66FF867C}">
                  <a14:compatExt spid="_x0000_s137241"/>
                </a:ext>
                <a:ext uri="{FF2B5EF4-FFF2-40B4-BE49-F238E27FC236}">
                  <a16:creationId xmlns:a16="http://schemas.microsoft.com/office/drawing/2014/main" id="{00000000-0008-0000-0600-00001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8241" name="Group Box 1" hidden="1">
              <a:extLst>
                <a:ext uri="{63B3BB69-23CF-44E3-9099-C40C66FF867C}">
                  <a14:compatExt spid="_x0000_s138241"/>
                </a:ext>
                <a:ext uri="{FF2B5EF4-FFF2-40B4-BE49-F238E27FC236}">
                  <a16:creationId xmlns:a16="http://schemas.microsoft.com/office/drawing/2014/main" id="{00000000-0008-0000-0700-00000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8242" name="Option Button 2" hidden="1">
              <a:extLst>
                <a:ext uri="{63B3BB69-23CF-44E3-9099-C40C66FF867C}">
                  <a14:compatExt spid="_x0000_s138242"/>
                </a:ext>
                <a:ext uri="{FF2B5EF4-FFF2-40B4-BE49-F238E27FC236}">
                  <a16:creationId xmlns:a16="http://schemas.microsoft.com/office/drawing/2014/main" id="{00000000-0008-0000-07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8243" name="Option Button 3" hidden="1">
              <a:extLst>
                <a:ext uri="{63B3BB69-23CF-44E3-9099-C40C66FF867C}">
                  <a14:compatExt spid="_x0000_s138243"/>
                </a:ext>
                <a:ext uri="{FF2B5EF4-FFF2-40B4-BE49-F238E27FC236}">
                  <a16:creationId xmlns:a16="http://schemas.microsoft.com/office/drawing/2014/main" id="{00000000-0008-0000-07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8244" name="Group Box 4" hidden="1">
              <a:extLst>
                <a:ext uri="{63B3BB69-23CF-44E3-9099-C40C66FF867C}">
                  <a14:compatExt spid="_x0000_s138244"/>
                </a:ext>
                <a:ext uri="{FF2B5EF4-FFF2-40B4-BE49-F238E27FC236}">
                  <a16:creationId xmlns:a16="http://schemas.microsoft.com/office/drawing/2014/main" id="{00000000-0008-0000-0700-00000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8245" name="Option Button 5" hidden="1">
              <a:extLst>
                <a:ext uri="{63B3BB69-23CF-44E3-9099-C40C66FF867C}">
                  <a14:compatExt spid="_x0000_s138245"/>
                </a:ext>
                <a:ext uri="{FF2B5EF4-FFF2-40B4-BE49-F238E27FC236}">
                  <a16:creationId xmlns:a16="http://schemas.microsoft.com/office/drawing/2014/main" id="{00000000-0008-0000-07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8246" name="Option Button 6" hidden="1">
              <a:extLst>
                <a:ext uri="{63B3BB69-23CF-44E3-9099-C40C66FF867C}">
                  <a14:compatExt spid="_x0000_s138246"/>
                </a:ext>
                <a:ext uri="{FF2B5EF4-FFF2-40B4-BE49-F238E27FC236}">
                  <a16:creationId xmlns:a16="http://schemas.microsoft.com/office/drawing/2014/main" id="{00000000-0008-0000-07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8247" name="Group Box 7" hidden="1">
              <a:extLst>
                <a:ext uri="{63B3BB69-23CF-44E3-9099-C40C66FF867C}">
                  <a14:compatExt spid="_x0000_s138247"/>
                </a:ext>
                <a:ext uri="{FF2B5EF4-FFF2-40B4-BE49-F238E27FC236}">
                  <a16:creationId xmlns:a16="http://schemas.microsoft.com/office/drawing/2014/main" id="{00000000-0008-0000-0700-000007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8248" name="Option Button 8" hidden="1">
              <a:extLst>
                <a:ext uri="{63B3BB69-23CF-44E3-9099-C40C66FF867C}">
                  <a14:compatExt spid="_x0000_s138248"/>
                </a:ext>
                <a:ext uri="{FF2B5EF4-FFF2-40B4-BE49-F238E27FC236}">
                  <a16:creationId xmlns:a16="http://schemas.microsoft.com/office/drawing/2014/main" id="{00000000-0008-0000-07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8249" name="Option Button 9" hidden="1">
              <a:extLst>
                <a:ext uri="{63B3BB69-23CF-44E3-9099-C40C66FF867C}">
                  <a14:compatExt spid="_x0000_s138249"/>
                </a:ext>
                <a:ext uri="{FF2B5EF4-FFF2-40B4-BE49-F238E27FC236}">
                  <a16:creationId xmlns:a16="http://schemas.microsoft.com/office/drawing/2014/main" id="{00000000-0008-0000-07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8250" name="Group Box 10" hidden="1">
              <a:extLst>
                <a:ext uri="{63B3BB69-23CF-44E3-9099-C40C66FF867C}">
                  <a14:compatExt spid="_x0000_s138250"/>
                </a:ext>
                <a:ext uri="{FF2B5EF4-FFF2-40B4-BE49-F238E27FC236}">
                  <a16:creationId xmlns:a16="http://schemas.microsoft.com/office/drawing/2014/main" id="{00000000-0008-0000-0700-00000A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8251" name="Option Button 11" hidden="1">
              <a:extLst>
                <a:ext uri="{63B3BB69-23CF-44E3-9099-C40C66FF867C}">
                  <a14:compatExt spid="_x0000_s138251"/>
                </a:ext>
                <a:ext uri="{FF2B5EF4-FFF2-40B4-BE49-F238E27FC236}">
                  <a16:creationId xmlns:a16="http://schemas.microsoft.com/office/drawing/2014/main" id="{00000000-0008-0000-07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8252" name="Option Button 12" hidden="1">
              <a:extLst>
                <a:ext uri="{63B3BB69-23CF-44E3-9099-C40C66FF867C}">
                  <a14:compatExt spid="_x0000_s138252"/>
                </a:ext>
                <a:ext uri="{FF2B5EF4-FFF2-40B4-BE49-F238E27FC236}">
                  <a16:creationId xmlns:a16="http://schemas.microsoft.com/office/drawing/2014/main" id="{00000000-0008-0000-07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8253" name="Group Box 13" hidden="1">
              <a:extLst>
                <a:ext uri="{63B3BB69-23CF-44E3-9099-C40C66FF867C}">
                  <a14:compatExt spid="_x0000_s138253"/>
                </a:ext>
                <a:ext uri="{FF2B5EF4-FFF2-40B4-BE49-F238E27FC236}">
                  <a16:creationId xmlns:a16="http://schemas.microsoft.com/office/drawing/2014/main" id="{00000000-0008-0000-0700-00000D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8254" name="Option Button 14" hidden="1">
              <a:extLst>
                <a:ext uri="{63B3BB69-23CF-44E3-9099-C40C66FF867C}">
                  <a14:compatExt spid="_x0000_s138254"/>
                </a:ext>
                <a:ext uri="{FF2B5EF4-FFF2-40B4-BE49-F238E27FC236}">
                  <a16:creationId xmlns:a16="http://schemas.microsoft.com/office/drawing/2014/main" id="{00000000-0008-0000-0700-00000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8255" name="Option Button 15" hidden="1">
              <a:extLst>
                <a:ext uri="{63B3BB69-23CF-44E3-9099-C40C66FF867C}">
                  <a14:compatExt spid="_x0000_s138255"/>
                </a:ext>
                <a:ext uri="{FF2B5EF4-FFF2-40B4-BE49-F238E27FC236}">
                  <a16:creationId xmlns:a16="http://schemas.microsoft.com/office/drawing/2014/main" id="{00000000-0008-0000-07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7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8257" name="Group Box 17" hidden="1">
              <a:extLst>
                <a:ext uri="{63B3BB69-23CF-44E3-9099-C40C66FF867C}">
                  <a14:compatExt spid="_x0000_s138257"/>
                </a:ext>
                <a:ext uri="{FF2B5EF4-FFF2-40B4-BE49-F238E27FC236}">
                  <a16:creationId xmlns:a16="http://schemas.microsoft.com/office/drawing/2014/main" id="{00000000-0008-0000-0700-00001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8258" name="Option Button 18" hidden="1">
              <a:extLst>
                <a:ext uri="{63B3BB69-23CF-44E3-9099-C40C66FF867C}">
                  <a14:compatExt spid="_x0000_s138258"/>
                </a:ext>
                <a:ext uri="{FF2B5EF4-FFF2-40B4-BE49-F238E27FC236}">
                  <a16:creationId xmlns:a16="http://schemas.microsoft.com/office/drawing/2014/main" id="{00000000-0008-0000-07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8259" name="Option Button 19" hidden="1">
              <a:extLst>
                <a:ext uri="{63B3BB69-23CF-44E3-9099-C40C66FF867C}">
                  <a14:compatExt spid="_x0000_s138259"/>
                </a:ext>
                <a:ext uri="{FF2B5EF4-FFF2-40B4-BE49-F238E27FC236}">
                  <a16:creationId xmlns:a16="http://schemas.microsoft.com/office/drawing/2014/main" id="{00000000-0008-0000-07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8260" name="Group Box 20" hidden="1">
              <a:extLst>
                <a:ext uri="{63B3BB69-23CF-44E3-9099-C40C66FF867C}">
                  <a14:compatExt spid="_x0000_s138260"/>
                </a:ext>
                <a:ext uri="{FF2B5EF4-FFF2-40B4-BE49-F238E27FC236}">
                  <a16:creationId xmlns:a16="http://schemas.microsoft.com/office/drawing/2014/main" id="{00000000-0008-0000-0700-00001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8261" name="Group Box 21" hidden="1">
              <a:extLst>
                <a:ext uri="{63B3BB69-23CF-44E3-9099-C40C66FF867C}">
                  <a14:compatExt spid="_x0000_s138261"/>
                </a:ext>
                <a:ext uri="{FF2B5EF4-FFF2-40B4-BE49-F238E27FC236}">
                  <a16:creationId xmlns:a16="http://schemas.microsoft.com/office/drawing/2014/main" id="{00000000-0008-0000-0700-000015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8262" name="Option Button 22" hidden="1">
              <a:extLst>
                <a:ext uri="{63B3BB69-23CF-44E3-9099-C40C66FF867C}">
                  <a14:compatExt spid="_x0000_s138262"/>
                </a:ext>
                <a:ext uri="{FF2B5EF4-FFF2-40B4-BE49-F238E27FC236}">
                  <a16:creationId xmlns:a16="http://schemas.microsoft.com/office/drawing/2014/main" id="{00000000-0008-0000-07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8263" name="Option Button 23" hidden="1">
              <a:extLst>
                <a:ext uri="{63B3BB69-23CF-44E3-9099-C40C66FF867C}">
                  <a14:compatExt spid="_x0000_s138263"/>
                </a:ext>
                <a:ext uri="{FF2B5EF4-FFF2-40B4-BE49-F238E27FC236}">
                  <a16:creationId xmlns:a16="http://schemas.microsoft.com/office/drawing/2014/main" id="{00000000-0008-0000-0700-00001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8264" name="Option Button 24" hidden="1">
              <a:extLst>
                <a:ext uri="{63B3BB69-23CF-44E3-9099-C40C66FF867C}">
                  <a14:compatExt spid="_x0000_s138264"/>
                </a:ext>
                <a:ext uri="{FF2B5EF4-FFF2-40B4-BE49-F238E27FC236}">
                  <a16:creationId xmlns:a16="http://schemas.microsoft.com/office/drawing/2014/main" id="{00000000-0008-0000-0700-00001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8265" name="Option Button 25" hidden="1">
              <a:extLst>
                <a:ext uri="{63B3BB69-23CF-44E3-9099-C40C66FF867C}">
                  <a14:compatExt spid="_x0000_s138265"/>
                </a:ext>
                <a:ext uri="{FF2B5EF4-FFF2-40B4-BE49-F238E27FC236}">
                  <a16:creationId xmlns:a16="http://schemas.microsoft.com/office/drawing/2014/main" id="{00000000-0008-0000-07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9265" name="Group Box 1" hidden="1">
              <a:extLst>
                <a:ext uri="{63B3BB69-23CF-44E3-9099-C40C66FF867C}">
                  <a14:compatExt spid="_x0000_s139265"/>
                </a:ext>
                <a:ext uri="{FF2B5EF4-FFF2-40B4-BE49-F238E27FC236}">
                  <a16:creationId xmlns:a16="http://schemas.microsoft.com/office/drawing/2014/main" id="{00000000-0008-0000-0800-000001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9266" name="Option Button 2" hidden="1">
              <a:extLst>
                <a:ext uri="{63B3BB69-23CF-44E3-9099-C40C66FF867C}">
                  <a14:compatExt spid="_x0000_s139266"/>
                </a:ext>
                <a:ext uri="{FF2B5EF4-FFF2-40B4-BE49-F238E27FC236}">
                  <a16:creationId xmlns:a16="http://schemas.microsoft.com/office/drawing/2014/main" id="{00000000-0008-0000-0800-00000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9267" name="Option Button 3" hidden="1">
              <a:extLst>
                <a:ext uri="{63B3BB69-23CF-44E3-9099-C40C66FF867C}">
                  <a14:compatExt spid="_x0000_s139267"/>
                </a:ext>
                <a:ext uri="{FF2B5EF4-FFF2-40B4-BE49-F238E27FC236}">
                  <a16:creationId xmlns:a16="http://schemas.microsoft.com/office/drawing/2014/main" id="{00000000-0008-0000-0800-00000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9268" name="Group Box 4" hidden="1">
              <a:extLst>
                <a:ext uri="{63B3BB69-23CF-44E3-9099-C40C66FF867C}">
                  <a14:compatExt spid="_x0000_s139268"/>
                </a:ext>
                <a:ext uri="{FF2B5EF4-FFF2-40B4-BE49-F238E27FC236}">
                  <a16:creationId xmlns:a16="http://schemas.microsoft.com/office/drawing/2014/main" id="{00000000-0008-0000-0800-000004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9269" name="Option Button 5" hidden="1">
              <a:extLst>
                <a:ext uri="{63B3BB69-23CF-44E3-9099-C40C66FF867C}">
                  <a14:compatExt spid="_x0000_s139269"/>
                </a:ext>
                <a:ext uri="{FF2B5EF4-FFF2-40B4-BE49-F238E27FC236}">
                  <a16:creationId xmlns:a16="http://schemas.microsoft.com/office/drawing/2014/main" id="{00000000-0008-0000-0800-000005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9270" name="Option Button 6" hidden="1">
              <a:extLst>
                <a:ext uri="{63B3BB69-23CF-44E3-9099-C40C66FF867C}">
                  <a14:compatExt spid="_x0000_s139270"/>
                </a:ext>
                <a:ext uri="{FF2B5EF4-FFF2-40B4-BE49-F238E27FC236}">
                  <a16:creationId xmlns:a16="http://schemas.microsoft.com/office/drawing/2014/main" id="{00000000-0008-0000-0800-00000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9271" name="Group Box 7" hidden="1">
              <a:extLst>
                <a:ext uri="{63B3BB69-23CF-44E3-9099-C40C66FF867C}">
                  <a14:compatExt spid="_x0000_s139271"/>
                </a:ext>
                <a:ext uri="{FF2B5EF4-FFF2-40B4-BE49-F238E27FC236}">
                  <a16:creationId xmlns:a16="http://schemas.microsoft.com/office/drawing/2014/main" id="{00000000-0008-0000-0800-000007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9272" name="Option Button 8" hidden="1">
              <a:extLst>
                <a:ext uri="{63B3BB69-23CF-44E3-9099-C40C66FF867C}">
                  <a14:compatExt spid="_x0000_s139272"/>
                </a:ext>
                <a:ext uri="{FF2B5EF4-FFF2-40B4-BE49-F238E27FC236}">
                  <a16:creationId xmlns:a16="http://schemas.microsoft.com/office/drawing/2014/main" id="{00000000-0008-0000-0800-00000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9273" name="Option Button 9" hidden="1">
              <a:extLst>
                <a:ext uri="{63B3BB69-23CF-44E3-9099-C40C66FF867C}">
                  <a14:compatExt spid="_x0000_s139273"/>
                </a:ext>
                <a:ext uri="{FF2B5EF4-FFF2-40B4-BE49-F238E27FC236}">
                  <a16:creationId xmlns:a16="http://schemas.microsoft.com/office/drawing/2014/main" id="{00000000-0008-0000-0800-00000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9274" name="Group Box 10" hidden="1">
              <a:extLst>
                <a:ext uri="{63B3BB69-23CF-44E3-9099-C40C66FF867C}">
                  <a14:compatExt spid="_x0000_s139274"/>
                </a:ext>
                <a:ext uri="{FF2B5EF4-FFF2-40B4-BE49-F238E27FC236}">
                  <a16:creationId xmlns:a16="http://schemas.microsoft.com/office/drawing/2014/main" id="{00000000-0008-0000-0800-00000A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9275" name="Option Button 11" hidden="1">
              <a:extLst>
                <a:ext uri="{63B3BB69-23CF-44E3-9099-C40C66FF867C}">
                  <a14:compatExt spid="_x0000_s139275"/>
                </a:ext>
                <a:ext uri="{FF2B5EF4-FFF2-40B4-BE49-F238E27FC236}">
                  <a16:creationId xmlns:a16="http://schemas.microsoft.com/office/drawing/2014/main" id="{00000000-0008-0000-0800-00000B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9276" name="Option Button 12" hidden="1">
              <a:extLst>
                <a:ext uri="{63B3BB69-23CF-44E3-9099-C40C66FF867C}">
                  <a14:compatExt spid="_x0000_s139276"/>
                </a:ext>
                <a:ext uri="{FF2B5EF4-FFF2-40B4-BE49-F238E27FC236}">
                  <a16:creationId xmlns:a16="http://schemas.microsoft.com/office/drawing/2014/main" id="{00000000-0008-0000-0800-00000C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9277" name="Group Box 13" hidden="1">
              <a:extLst>
                <a:ext uri="{63B3BB69-23CF-44E3-9099-C40C66FF867C}">
                  <a14:compatExt spid="_x0000_s139277"/>
                </a:ext>
                <a:ext uri="{FF2B5EF4-FFF2-40B4-BE49-F238E27FC236}">
                  <a16:creationId xmlns:a16="http://schemas.microsoft.com/office/drawing/2014/main" id="{00000000-0008-0000-0800-00000D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9278" name="Option Button 14" hidden="1">
              <a:extLst>
                <a:ext uri="{63B3BB69-23CF-44E3-9099-C40C66FF867C}">
                  <a14:compatExt spid="_x0000_s139278"/>
                </a:ext>
                <a:ext uri="{FF2B5EF4-FFF2-40B4-BE49-F238E27FC236}">
                  <a16:creationId xmlns:a16="http://schemas.microsoft.com/office/drawing/2014/main" id="{00000000-0008-0000-0800-00000E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9279" name="Option Button 15" hidden="1">
              <a:extLst>
                <a:ext uri="{63B3BB69-23CF-44E3-9099-C40C66FF867C}">
                  <a14:compatExt spid="_x0000_s139279"/>
                </a:ext>
                <a:ext uri="{FF2B5EF4-FFF2-40B4-BE49-F238E27FC236}">
                  <a16:creationId xmlns:a16="http://schemas.microsoft.com/office/drawing/2014/main" id="{00000000-0008-0000-0800-00000F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9280" name="Check Box 16" hidden="1">
              <a:extLst>
                <a:ext uri="{63B3BB69-23CF-44E3-9099-C40C66FF867C}">
                  <a14:compatExt spid="_x0000_s139280"/>
                </a:ext>
                <a:ext uri="{FF2B5EF4-FFF2-40B4-BE49-F238E27FC236}">
                  <a16:creationId xmlns:a16="http://schemas.microsoft.com/office/drawing/2014/main" id="{00000000-0008-0000-0800-000010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9281" name="Group Box 17" hidden="1">
              <a:extLst>
                <a:ext uri="{63B3BB69-23CF-44E3-9099-C40C66FF867C}">
                  <a14:compatExt spid="_x0000_s139281"/>
                </a:ext>
                <a:ext uri="{FF2B5EF4-FFF2-40B4-BE49-F238E27FC236}">
                  <a16:creationId xmlns:a16="http://schemas.microsoft.com/office/drawing/2014/main" id="{00000000-0008-0000-0800-000011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9282" name="Option Button 18" hidden="1">
              <a:extLst>
                <a:ext uri="{63B3BB69-23CF-44E3-9099-C40C66FF867C}">
                  <a14:compatExt spid="_x0000_s139282"/>
                </a:ext>
                <a:ext uri="{FF2B5EF4-FFF2-40B4-BE49-F238E27FC236}">
                  <a16:creationId xmlns:a16="http://schemas.microsoft.com/office/drawing/2014/main" id="{00000000-0008-0000-0800-00001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9283" name="Option Button 19" hidden="1">
              <a:extLst>
                <a:ext uri="{63B3BB69-23CF-44E3-9099-C40C66FF867C}">
                  <a14:compatExt spid="_x0000_s139283"/>
                </a:ext>
                <a:ext uri="{FF2B5EF4-FFF2-40B4-BE49-F238E27FC236}">
                  <a16:creationId xmlns:a16="http://schemas.microsoft.com/office/drawing/2014/main" id="{00000000-0008-0000-0800-00001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9284" name="Group Box 20" hidden="1">
              <a:extLst>
                <a:ext uri="{63B3BB69-23CF-44E3-9099-C40C66FF867C}">
                  <a14:compatExt spid="_x0000_s139284"/>
                </a:ext>
                <a:ext uri="{FF2B5EF4-FFF2-40B4-BE49-F238E27FC236}">
                  <a16:creationId xmlns:a16="http://schemas.microsoft.com/office/drawing/2014/main" id="{00000000-0008-0000-0800-000014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9285" name="Group Box 21" hidden="1">
              <a:extLst>
                <a:ext uri="{63B3BB69-23CF-44E3-9099-C40C66FF867C}">
                  <a14:compatExt spid="_x0000_s139285"/>
                </a:ext>
                <a:ext uri="{FF2B5EF4-FFF2-40B4-BE49-F238E27FC236}">
                  <a16:creationId xmlns:a16="http://schemas.microsoft.com/office/drawing/2014/main" id="{00000000-0008-0000-0800-000015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9286" name="Option Button 22" hidden="1">
              <a:extLst>
                <a:ext uri="{63B3BB69-23CF-44E3-9099-C40C66FF867C}">
                  <a14:compatExt spid="_x0000_s139286"/>
                </a:ext>
                <a:ext uri="{FF2B5EF4-FFF2-40B4-BE49-F238E27FC236}">
                  <a16:creationId xmlns:a16="http://schemas.microsoft.com/office/drawing/2014/main" id="{00000000-0008-0000-0800-00001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9287" name="Option Button 23" hidden="1">
              <a:extLst>
                <a:ext uri="{63B3BB69-23CF-44E3-9099-C40C66FF867C}">
                  <a14:compatExt spid="_x0000_s139287"/>
                </a:ext>
                <a:ext uri="{FF2B5EF4-FFF2-40B4-BE49-F238E27FC236}">
                  <a16:creationId xmlns:a16="http://schemas.microsoft.com/office/drawing/2014/main" id="{00000000-0008-0000-0800-000017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9288" name="Option Button 24" hidden="1">
              <a:extLst>
                <a:ext uri="{63B3BB69-23CF-44E3-9099-C40C66FF867C}">
                  <a14:compatExt spid="_x0000_s139288"/>
                </a:ext>
                <a:ext uri="{FF2B5EF4-FFF2-40B4-BE49-F238E27FC236}">
                  <a16:creationId xmlns:a16="http://schemas.microsoft.com/office/drawing/2014/main" id="{00000000-0008-0000-0800-00001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9289" name="Option Button 25" hidden="1">
              <a:extLst>
                <a:ext uri="{63B3BB69-23CF-44E3-9099-C40C66FF867C}">
                  <a14:compatExt spid="_x0000_s139289"/>
                </a:ext>
                <a:ext uri="{FF2B5EF4-FFF2-40B4-BE49-F238E27FC236}">
                  <a16:creationId xmlns:a16="http://schemas.microsoft.com/office/drawing/2014/main" id="{00000000-0008-0000-0800-00001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0289" name="Group Box 1" hidden="1">
              <a:extLst>
                <a:ext uri="{63B3BB69-23CF-44E3-9099-C40C66FF867C}">
                  <a14:compatExt spid="_x0000_s140289"/>
                </a:ext>
                <a:ext uri="{FF2B5EF4-FFF2-40B4-BE49-F238E27FC236}">
                  <a16:creationId xmlns:a16="http://schemas.microsoft.com/office/drawing/2014/main" id="{00000000-0008-0000-0900-000001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0290" name="Option Button 2" hidden="1">
              <a:extLst>
                <a:ext uri="{63B3BB69-23CF-44E3-9099-C40C66FF867C}">
                  <a14:compatExt spid="_x0000_s140290"/>
                </a:ext>
                <a:ext uri="{FF2B5EF4-FFF2-40B4-BE49-F238E27FC236}">
                  <a16:creationId xmlns:a16="http://schemas.microsoft.com/office/drawing/2014/main" id="{00000000-0008-0000-0900-00000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0291" name="Option Button 3" hidden="1">
              <a:extLst>
                <a:ext uri="{63B3BB69-23CF-44E3-9099-C40C66FF867C}">
                  <a14:compatExt spid="_x0000_s140291"/>
                </a:ext>
                <a:ext uri="{FF2B5EF4-FFF2-40B4-BE49-F238E27FC236}">
                  <a16:creationId xmlns:a16="http://schemas.microsoft.com/office/drawing/2014/main" id="{00000000-0008-0000-0900-00000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0292" name="Group Box 4" hidden="1">
              <a:extLst>
                <a:ext uri="{63B3BB69-23CF-44E3-9099-C40C66FF867C}">
                  <a14:compatExt spid="_x0000_s140292"/>
                </a:ext>
                <a:ext uri="{FF2B5EF4-FFF2-40B4-BE49-F238E27FC236}">
                  <a16:creationId xmlns:a16="http://schemas.microsoft.com/office/drawing/2014/main" id="{00000000-0008-0000-0900-000004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0293" name="Option Button 5" hidden="1">
              <a:extLst>
                <a:ext uri="{63B3BB69-23CF-44E3-9099-C40C66FF867C}">
                  <a14:compatExt spid="_x0000_s140293"/>
                </a:ext>
                <a:ext uri="{FF2B5EF4-FFF2-40B4-BE49-F238E27FC236}">
                  <a16:creationId xmlns:a16="http://schemas.microsoft.com/office/drawing/2014/main" id="{00000000-0008-0000-0900-00000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0294" name="Option Button 6" hidden="1">
              <a:extLst>
                <a:ext uri="{63B3BB69-23CF-44E3-9099-C40C66FF867C}">
                  <a14:compatExt spid="_x0000_s140294"/>
                </a:ext>
                <a:ext uri="{FF2B5EF4-FFF2-40B4-BE49-F238E27FC236}">
                  <a16:creationId xmlns:a16="http://schemas.microsoft.com/office/drawing/2014/main" id="{00000000-0008-0000-0900-00000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0295" name="Group Box 7" hidden="1">
              <a:extLst>
                <a:ext uri="{63B3BB69-23CF-44E3-9099-C40C66FF867C}">
                  <a14:compatExt spid="_x0000_s140295"/>
                </a:ext>
                <a:ext uri="{FF2B5EF4-FFF2-40B4-BE49-F238E27FC236}">
                  <a16:creationId xmlns:a16="http://schemas.microsoft.com/office/drawing/2014/main" id="{00000000-0008-0000-0900-000007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0296" name="Option Button 8" hidden="1">
              <a:extLst>
                <a:ext uri="{63B3BB69-23CF-44E3-9099-C40C66FF867C}">
                  <a14:compatExt spid="_x0000_s140296"/>
                </a:ext>
                <a:ext uri="{FF2B5EF4-FFF2-40B4-BE49-F238E27FC236}">
                  <a16:creationId xmlns:a16="http://schemas.microsoft.com/office/drawing/2014/main" id="{00000000-0008-0000-0900-00000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0297" name="Option Button 9" hidden="1">
              <a:extLst>
                <a:ext uri="{63B3BB69-23CF-44E3-9099-C40C66FF867C}">
                  <a14:compatExt spid="_x0000_s140297"/>
                </a:ext>
                <a:ext uri="{FF2B5EF4-FFF2-40B4-BE49-F238E27FC236}">
                  <a16:creationId xmlns:a16="http://schemas.microsoft.com/office/drawing/2014/main" id="{00000000-0008-0000-0900-00000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0298" name="Group Box 10" hidden="1">
              <a:extLst>
                <a:ext uri="{63B3BB69-23CF-44E3-9099-C40C66FF867C}">
                  <a14:compatExt spid="_x0000_s140298"/>
                </a:ext>
                <a:ext uri="{FF2B5EF4-FFF2-40B4-BE49-F238E27FC236}">
                  <a16:creationId xmlns:a16="http://schemas.microsoft.com/office/drawing/2014/main" id="{00000000-0008-0000-0900-00000A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0299" name="Option Button 11" hidden="1">
              <a:extLst>
                <a:ext uri="{63B3BB69-23CF-44E3-9099-C40C66FF867C}">
                  <a14:compatExt spid="_x0000_s140299"/>
                </a:ext>
                <a:ext uri="{FF2B5EF4-FFF2-40B4-BE49-F238E27FC236}">
                  <a16:creationId xmlns:a16="http://schemas.microsoft.com/office/drawing/2014/main" id="{00000000-0008-0000-0900-00000B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0300" name="Option Button 12" hidden="1">
              <a:extLst>
                <a:ext uri="{63B3BB69-23CF-44E3-9099-C40C66FF867C}">
                  <a14:compatExt spid="_x0000_s140300"/>
                </a:ext>
                <a:ext uri="{FF2B5EF4-FFF2-40B4-BE49-F238E27FC236}">
                  <a16:creationId xmlns:a16="http://schemas.microsoft.com/office/drawing/2014/main" id="{00000000-0008-0000-0900-00000C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0301" name="Group Box 13" hidden="1">
              <a:extLst>
                <a:ext uri="{63B3BB69-23CF-44E3-9099-C40C66FF867C}">
                  <a14:compatExt spid="_x0000_s140301"/>
                </a:ext>
                <a:ext uri="{FF2B5EF4-FFF2-40B4-BE49-F238E27FC236}">
                  <a16:creationId xmlns:a16="http://schemas.microsoft.com/office/drawing/2014/main" id="{00000000-0008-0000-0900-00000D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0302" name="Option Button 14" hidden="1">
              <a:extLst>
                <a:ext uri="{63B3BB69-23CF-44E3-9099-C40C66FF867C}">
                  <a14:compatExt spid="_x0000_s140302"/>
                </a:ext>
                <a:ext uri="{FF2B5EF4-FFF2-40B4-BE49-F238E27FC236}">
                  <a16:creationId xmlns:a16="http://schemas.microsoft.com/office/drawing/2014/main" id="{00000000-0008-0000-0900-00000E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0303" name="Option Button 15" hidden="1">
              <a:extLst>
                <a:ext uri="{63B3BB69-23CF-44E3-9099-C40C66FF867C}">
                  <a14:compatExt spid="_x0000_s140303"/>
                </a:ext>
                <a:ext uri="{FF2B5EF4-FFF2-40B4-BE49-F238E27FC236}">
                  <a16:creationId xmlns:a16="http://schemas.microsoft.com/office/drawing/2014/main" id="{00000000-0008-0000-0900-00000F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0304" name="Check Box 16" hidden="1">
              <a:extLst>
                <a:ext uri="{63B3BB69-23CF-44E3-9099-C40C66FF867C}">
                  <a14:compatExt spid="_x0000_s140304"/>
                </a:ext>
                <a:ext uri="{FF2B5EF4-FFF2-40B4-BE49-F238E27FC236}">
                  <a16:creationId xmlns:a16="http://schemas.microsoft.com/office/drawing/2014/main" id="{00000000-0008-0000-0900-000010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0305" name="Group Box 17" hidden="1">
              <a:extLst>
                <a:ext uri="{63B3BB69-23CF-44E3-9099-C40C66FF867C}">
                  <a14:compatExt spid="_x0000_s140305"/>
                </a:ext>
                <a:ext uri="{FF2B5EF4-FFF2-40B4-BE49-F238E27FC236}">
                  <a16:creationId xmlns:a16="http://schemas.microsoft.com/office/drawing/2014/main" id="{00000000-0008-0000-0900-000011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0306" name="Option Button 18" hidden="1">
              <a:extLst>
                <a:ext uri="{63B3BB69-23CF-44E3-9099-C40C66FF867C}">
                  <a14:compatExt spid="_x0000_s140306"/>
                </a:ext>
                <a:ext uri="{FF2B5EF4-FFF2-40B4-BE49-F238E27FC236}">
                  <a16:creationId xmlns:a16="http://schemas.microsoft.com/office/drawing/2014/main" id="{00000000-0008-0000-0900-00001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0307" name="Option Button 19" hidden="1">
              <a:extLst>
                <a:ext uri="{63B3BB69-23CF-44E3-9099-C40C66FF867C}">
                  <a14:compatExt spid="_x0000_s140307"/>
                </a:ext>
                <a:ext uri="{FF2B5EF4-FFF2-40B4-BE49-F238E27FC236}">
                  <a16:creationId xmlns:a16="http://schemas.microsoft.com/office/drawing/2014/main" id="{00000000-0008-0000-0900-00001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0308" name="Group Box 20" hidden="1">
              <a:extLst>
                <a:ext uri="{63B3BB69-23CF-44E3-9099-C40C66FF867C}">
                  <a14:compatExt spid="_x0000_s140308"/>
                </a:ext>
                <a:ext uri="{FF2B5EF4-FFF2-40B4-BE49-F238E27FC236}">
                  <a16:creationId xmlns:a16="http://schemas.microsoft.com/office/drawing/2014/main" id="{00000000-0008-0000-0900-000014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0309" name="Group Box 21" hidden="1">
              <a:extLst>
                <a:ext uri="{63B3BB69-23CF-44E3-9099-C40C66FF867C}">
                  <a14:compatExt spid="_x0000_s140309"/>
                </a:ext>
                <a:ext uri="{FF2B5EF4-FFF2-40B4-BE49-F238E27FC236}">
                  <a16:creationId xmlns:a16="http://schemas.microsoft.com/office/drawing/2014/main" id="{00000000-0008-0000-0900-000015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0310" name="Option Button 22" hidden="1">
              <a:extLst>
                <a:ext uri="{63B3BB69-23CF-44E3-9099-C40C66FF867C}">
                  <a14:compatExt spid="_x0000_s140310"/>
                </a:ext>
                <a:ext uri="{FF2B5EF4-FFF2-40B4-BE49-F238E27FC236}">
                  <a16:creationId xmlns:a16="http://schemas.microsoft.com/office/drawing/2014/main" id="{00000000-0008-0000-0900-00001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0311" name="Option Button 23" hidden="1">
              <a:extLst>
                <a:ext uri="{63B3BB69-23CF-44E3-9099-C40C66FF867C}">
                  <a14:compatExt spid="_x0000_s140311"/>
                </a:ext>
                <a:ext uri="{FF2B5EF4-FFF2-40B4-BE49-F238E27FC236}">
                  <a16:creationId xmlns:a16="http://schemas.microsoft.com/office/drawing/2014/main" id="{00000000-0008-0000-0900-00001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0312" name="Option Button 24" hidden="1">
              <a:extLst>
                <a:ext uri="{63B3BB69-23CF-44E3-9099-C40C66FF867C}">
                  <a14:compatExt spid="_x0000_s140312"/>
                </a:ext>
                <a:ext uri="{FF2B5EF4-FFF2-40B4-BE49-F238E27FC236}">
                  <a16:creationId xmlns:a16="http://schemas.microsoft.com/office/drawing/2014/main" id="{00000000-0008-0000-0900-00001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0313" name="Option Button 25" hidden="1">
              <a:extLst>
                <a:ext uri="{63B3BB69-23CF-44E3-9099-C40C66FF867C}">
                  <a14:compatExt spid="_x0000_s140313"/>
                </a:ext>
                <a:ext uri="{FF2B5EF4-FFF2-40B4-BE49-F238E27FC236}">
                  <a16:creationId xmlns:a16="http://schemas.microsoft.com/office/drawing/2014/main" id="{00000000-0008-0000-0900-00001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c.vermont.gov/watershed/stormwater/permit-information-applications-fees/operational-stormwater-discharge-permit-application-materials" TargetMode="External"/><Relationship Id="rId1" Type="http://schemas.openxmlformats.org/officeDocument/2006/relationships/hyperlink" Target="http://dec.vermont.gov/watershed/stormwater/contac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drawing" Target="../drawings/drawing9.x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printerSettings" Target="../printerSettings/printerSettings10.bin"/><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vmlDrawing" Target="../drawings/vmlDrawing8.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drawing" Target="../drawings/drawing10.x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printerSettings" Target="../printerSettings/printerSettings11.bin"/><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vmlDrawing" Target="../drawings/vmlDrawing9.v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3.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4.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drawing" Target="../drawings/drawing4.x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printerSettings" Target="../printerSettings/printerSettings5.bin"/><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vmlDrawing" Target="../drawings/vmlDrawing3.v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drawing" Target="../drawings/drawing5.x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2" Type="http://schemas.openxmlformats.org/officeDocument/2006/relationships/printerSettings" Target="../printerSettings/printerSettings6.bin"/><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4.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drawing" Target="../drawings/drawing6.x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printerSettings" Target="../printerSettings/printerSettings7.bin"/><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drawing" Target="../drawings/drawing7.x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printerSettings" Target="../printerSettings/printerSettings8.bin"/><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vmlDrawing" Target="../drawings/vmlDrawing6.v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drawing" Target="../drawings/drawing8.x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printerSettings" Target="../printerSettings/printerSettings9.bin"/><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vmlDrawing" Target="../drawings/vmlDrawing7.v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K27"/>
  <sheetViews>
    <sheetView zoomScaleNormal="100" workbookViewId="0">
      <selection activeCell="N14" sqref="N14"/>
    </sheetView>
  </sheetViews>
  <sheetFormatPr defaultRowHeight="14.4" x14ac:dyDescent="0.3"/>
  <cols>
    <col min="1" max="1" width="11.109375" style="206" customWidth="1"/>
    <col min="2" max="8" width="8.88671875" style="206"/>
    <col min="9" max="9" width="16.109375" style="206" customWidth="1"/>
    <col min="10" max="16384" width="8.88671875" style="206"/>
  </cols>
  <sheetData>
    <row r="1" spans="1:11" ht="15.6" x14ac:dyDescent="0.3">
      <c r="A1" s="205" t="s">
        <v>129</v>
      </c>
    </row>
    <row r="2" spans="1:11" ht="55.8" customHeight="1" x14ac:dyDescent="0.3">
      <c r="A2" s="299" t="s">
        <v>238</v>
      </c>
      <c r="B2" s="300"/>
      <c r="C2" s="300"/>
      <c r="D2" s="300"/>
      <c r="E2" s="300"/>
      <c r="F2" s="300"/>
      <c r="G2" s="300"/>
      <c r="H2" s="300"/>
      <c r="I2" s="300"/>
    </row>
    <row r="3" spans="1:11" ht="16.2" customHeight="1" x14ac:dyDescent="0.3">
      <c r="A3" s="232" t="s">
        <v>239</v>
      </c>
      <c r="B3" s="226"/>
      <c r="C3" s="226"/>
      <c r="D3" s="226"/>
      <c r="E3" s="226"/>
      <c r="F3" s="226"/>
      <c r="G3" s="226"/>
      <c r="H3" s="226"/>
      <c r="I3" s="226"/>
    </row>
    <row r="5" spans="1:11" x14ac:dyDescent="0.3">
      <c r="A5" s="207" t="s">
        <v>173</v>
      </c>
      <c r="B5" s="208"/>
      <c r="C5" s="206" t="s">
        <v>145</v>
      </c>
    </row>
    <row r="6" spans="1:11" x14ac:dyDescent="0.3">
      <c r="A6" s="207" t="s">
        <v>174</v>
      </c>
      <c r="B6" s="209"/>
      <c r="C6" s="206" t="s">
        <v>175</v>
      </c>
    </row>
    <row r="7" spans="1:11" x14ac:dyDescent="0.3">
      <c r="A7" s="207" t="s">
        <v>146</v>
      </c>
      <c r="B7" s="210"/>
      <c r="C7" s="206" t="s">
        <v>178</v>
      </c>
    </row>
    <row r="8" spans="1:11" x14ac:dyDescent="0.3">
      <c r="A8" s="207"/>
      <c r="B8" s="211"/>
    </row>
    <row r="9" spans="1:11" x14ac:dyDescent="0.3">
      <c r="A9" s="303" t="s">
        <v>205</v>
      </c>
      <c r="B9" s="303"/>
      <c r="C9" s="303"/>
      <c r="D9" s="303"/>
      <c r="E9" s="303"/>
      <c r="F9" s="303"/>
      <c r="G9" s="303"/>
      <c r="H9" s="303"/>
      <c r="I9" s="303"/>
    </row>
    <row r="11" spans="1:11" ht="73.8" customHeight="1" x14ac:dyDescent="0.3">
      <c r="A11" s="301" t="s">
        <v>240</v>
      </c>
      <c r="B11" s="302"/>
      <c r="C11" s="302"/>
      <c r="D11" s="302"/>
      <c r="E11" s="302"/>
      <c r="F11" s="302"/>
      <c r="G11" s="302"/>
      <c r="H11" s="302"/>
      <c r="I11" s="302"/>
    </row>
    <row r="13" spans="1:11" ht="59.4" customHeight="1" x14ac:dyDescent="0.3">
      <c r="A13" s="305" t="s">
        <v>241</v>
      </c>
      <c r="B13" s="306"/>
      <c r="C13" s="306"/>
      <c r="D13" s="306"/>
      <c r="E13" s="306"/>
      <c r="F13" s="306"/>
      <c r="G13" s="306"/>
      <c r="H13" s="306"/>
      <c r="I13" s="306"/>
    </row>
    <row r="14" spans="1:11" ht="230.4" customHeight="1" x14ac:dyDescent="0.3">
      <c r="A14" s="231"/>
      <c r="B14" s="227"/>
      <c r="C14" s="227"/>
      <c r="D14" s="227"/>
      <c r="E14" s="227"/>
      <c r="F14" s="227"/>
      <c r="G14" s="227"/>
      <c r="H14" s="227"/>
      <c r="I14" s="227"/>
      <c r="K14" s="142">
        <f ca="1">IFERROR(INDIRECT(K$5&amp;"!F27"),0)</f>
        <v>0</v>
      </c>
    </row>
    <row r="15" spans="1:11" x14ac:dyDescent="0.3">
      <c r="A15" s="231"/>
      <c r="B15" s="227"/>
      <c r="C15" s="227"/>
      <c r="D15" s="227"/>
      <c r="E15" s="227"/>
      <c r="F15" s="227"/>
      <c r="G15" s="227"/>
      <c r="H15" s="227"/>
      <c r="I15" s="227"/>
      <c r="K15" s="142">
        <f ca="1">IFERROR(INDIRECT(K$5&amp;"!F30"),0)</f>
        <v>0</v>
      </c>
    </row>
    <row r="16" spans="1:11" ht="44.4" customHeight="1" x14ac:dyDescent="0.3">
      <c r="A16" s="299" t="s">
        <v>237</v>
      </c>
      <c r="B16" s="299"/>
      <c r="C16" s="299"/>
      <c r="D16" s="299"/>
      <c r="E16" s="299"/>
      <c r="F16" s="299"/>
      <c r="G16" s="299"/>
      <c r="H16" s="299"/>
      <c r="I16" s="299"/>
      <c r="K16" s="142">
        <f ca="1">IFERROR(INDIRECT(K$5&amp;"!F28"),0)</f>
        <v>0</v>
      </c>
    </row>
    <row r="17" spans="1:11" x14ac:dyDescent="0.3">
      <c r="A17" s="230"/>
      <c r="K17" s="142">
        <f ca="1">IFERROR(INDIRECT(K$5&amp;"!F31"),0)</f>
        <v>0</v>
      </c>
    </row>
    <row r="18" spans="1:11" x14ac:dyDescent="0.3">
      <c r="A18" s="303" t="s">
        <v>179</v>
      </c>
      <c r="B18" s="303"/>
      <c r="C18" s="303"/>
      <c r="D18" s="303"/>
      <c r="E18" s="303"/>
      <c r="F18" s="303"/>
      <c r="G18" s="303"/>
      <c r="H18" s="303"/>
      <c r="I18" s="303"/>
      <c r="K18" s="142">
        <f ca="1">IFERROR(INDIRECT(K$5&amp;"!F34"),0)</f>
        <v>0</v>
      </c>
    </row>
    <row r="19" spans="1:11" x14ac:dyDescent="0.3">
      <c r="A19" s="212" t="s">
        <v>180</v>
      </c>
      <c r="K19" s="142">
        <f ca="1">IFERROR(INDIRECT(K$5&amp;"!F32"),0)</f>
        <v>0</v>
      </c>
    </row>
    <row r="20" spans="1:11" x14ac:dyDescent="0.3">
      <c r="A20" s="212"/>
    </row>
    <row r="21" spans="1:11" x14ac:dyDescent="0.3">
      <c r="A21" s="213" t="s">
        <v>186</v>
      </c>
    </row>
    <row r="22" spans="1:11" ht="40.799999999999997" customHeight="1" x14ac:dyDescent="0.3">
      <c r="A22" s="304" t="s">
        <v>199</v>
      </c>
      <c r="B22" s="304"/>
      <c r="C22" s="304"/>
      <c r="D22" s="304"/>
      <c r="E22" s="304"/>
      <c r="F22" s="304"/>
      <c r="G22" s="304"/>
      <c r="H22" s="304"/>
      <c r="I22" s="304"/>
    </row>
    <row r="23" spans="1:11" ht="40.200000000000003" customHeight="1" x14ac:dyDescent="0.3"/>
    <row r="24" spans="1:11" x14ac:dyDescent="0.3">
      <c r="A24" s="214" t="s">
        <v>185</v>
      </c>
    </row>
    <row r="25" spans="1:11" ht="29.4" customHeight="1" x14ac:dyDescent="0.3">
      <c r="A25" s="300" t="s">
        <v>148</v>
      </c>
      <c r="B25" s="300"/>
      <c r="C25" s="300"/>
      <c r="D25" s="300"/>
      <c r="E25" s="300"/>
      <c r="F25" s="300"/>
      <c r="G25" s="300"/>
      <c r="H25" s="300"/>
      <c r="I25" s="300"/>
    </row>
    <row r="27" spans="1:11" ht="27" customHeight="1" x14ac:dyDescent="0.3">
      <c r="A27" s="300" t="s">
        <v>103</v>
      </c>
      <c r="B27" s="300"/>
      <c r="C27" s="300"/>
      <c r="D27" s="300"/>
      <c r="E27" s="300"/>
      <c r="F27" s="300"/>
      <c r="G27" s="300"/>
      <c r="H27" s="300"/>
      <c r="I27" s="300"/>
    </row>
  </sheetData>
  <mergeCells count="9">
    <mergeCell ref="A2:I2"/>
    <mergeCell ref="A11:I11"/>
    <mergeCell ref="A18:I18"/>
    <mergeCell ref="A25:I25"/>
    <mergeCell ref="A27:I27"/>
    <mergeCell ref="A22:I22"/>
    <mergeCell ref="A9:I9"/>
    <mergeCell ref="A13:I13"/>
    <mergeCell ref="A16:I16"/>
  </mergeCells>
  <conditionalFormatting sqref="K14:K19">
    <cfRule type="expression" dxfId="428" priority="2">
      <formula>K$11&gt;0</formula>
    </cfRule>
  </conditionalFormatting>
  <conditionalFormatting sqref="K14:K19">
    <cfRule type="expression" dxfId="427" priority="1">
      <formula>K$11=0</formula>
    </cfRule>
    <cfRule type="expression" dxfId="426" priority="3">
      <formula>K$11&gt;0</formula>
    </cfRule>
  </conditionalFormatting>
  <hyperlinks>
    <hyperlink ref="A19" r:id="rId1" xr:uid="{00000000-0004-0000-0000-000000000000}"/>
    <hyperlink ref="A3" r:id="rId2" xr:uid="{B880CE12-44CD-4001-B021-92551AFE74B9}"/>
  </hyperlinks>
  <pageMargins left="0.6" right="0.7" top="0.75" bottom="0.75" header="0.3" footer="0.3"/>
  <pageSetup orientation="portrait" r:id="rId3"/>
  <headerFooter>
    <oddHeader>&amp;C&amp;"-,Bold"&amp;14Vermont Operational Stormwater Permit - Standards Compliance Workbook</oddHeader>
    <oddFooter>&amp;LLast Updated 6/1/2017</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AF8C4-464D-4605-B75E-DBF267EA0319}">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8'!$C$10-0.2*Lookup!$B$13)^2/('SN8'!$C$10+0.8*Lookup!$B$13)))*$B$15+IF($C$10&lt;0.2*Lookup!$B$14,0,(('SN8'!$C$10-0.2*Lookup!$B$14)^2/('SN8'!$C$10+0.8*Lookup!$B$14)))*$B$16+IF($C$10&lt;0.2*Lookup!$B$15,0,(('SN8'!$C$10-0.2*Lookup!$B$15)^2/('SN8'!$C$10+0.8*Lookup!$B$15)))*$B$17++IF($C$10&lt;0.2*Lookup!$B$17,0,(('SN8'!$C$10-0.2*Lookup!$B$17)^2/('SN8'!$C$10+0.8*Lookup!$B$17)))*$B$18+IF($C$10&lt;0.2*Lookup!$C$13,0,(('SN8'!$C$10-0.2*Lookup!$C$13)^2/('SN8'!C$10+0.8*Lookup!$C$13)))*$C$15+IF($C$10&lt;0.2*Lookup!$C$14,0,(('SN8'!$C$10-0.2*Lookup!$C$14)^2/('SN8'!$C$10+0.8*Lookup!$C$14)))*$C$16+IF($C$10&lt;0.2*Lookup!$C$15,0,(('SN8'!$C$10-0.2*Lookup!$C$15)^2/('SN8'!$C$10+0.8*Lookup!$C$15)))*$C$17+IF($C$10&lt;0.2*Lookup!$C$17,0,(('SN8'!$C$10-0.2*Lookup!$C$17)^2/('SN8'!$C$10+0.8*Lookup!$C$17)))*$C$18+IF($C$10&lt;0.2*Lookup!$D$13,0,(('SN8'!$C$10-0.2*Lookup!$D$13)^2/('SN8'!$C$10+0.8*Lookup!$D$13)))*$D$15+IF($C$10&lt;0.2*Lookup!$D$14,0,(('SN8'!$C$10-0.2*Lookup!$D$14)^2/('SN8'!$C$10+0.8*Lookup!$D$14)))*$D$16+IF($C$10&lt;0.2*Lookup!$D$15,0,(('SN8'!$C$10-0.2*Lookup!$D$15)^2/('SN8'!$C$10+0.8*Lookup!$D$15)))*$D$17+IF($C$10&lt;0.2*Lookup!$D$17,0,(('SN8'!$C$10-0.2*Lookup!$D$17)^2/('SN8'!$C$10+0.8*Lookup!$D$17)))*$D$18+IF($C$10&lt;0.2*Lookup!$E$13,0,(('SN8'!$C$10-0.2*Lookup!$E$13)^2/('SN8'!$C$10+0.8*Lookup!$E$13)))*$E$15+IF($C$10&lt;0.2*Lookup!$E$14,0,(('SN8'!$C$10-0.2*Lookup!$E$14)^2/('SN8'!$C$10+0.8*Lookup!$E$14)))*$E$16+IF($C$10&lt;0.2*Lookup!$E$15,0,(('SN8'!$C$10-0.2*Lookup!$E$15)^2/('SN8'!$C$10+0.8*Lookup!$E$15)))*$E$17+IF($C$10&lt;0.2*Lookup!$E$17,0,(('SN8'!$C$10-0.2*Lookup!$E$17)^2/('SN8'!$C$10+0.8*Lookup!$E$17)))*$E$18)/12</f>
        <v>0</v>
      </c>
      <c r="E44" s="257">
        <f>(IF($D$10&lt;0.2*Lookup!$B$13,0,(('SN8'!$D$10-0.2*Lookup!$B$13)^2/('SN8'!$D$10+0.8*Lookup!$B$13)))*$B$15+IF($D$10&lt;0.2*Lookup!$B$14,0,(('SN8'!$D$10-0.2*Lookup!$B$14)^2/('SN8'!$D$10+0.8*Lookup!$B$14)))*$B$16+IF($D$10&lt;0.2*Lookup!$B$15,0,(('SN8'!$D$10-0.2*Lookup!$B$15)^2/('SN8'!$D$10+0.8*Lookup!$B$15)))*$B$17++IF($D$10&lt;0.2*Lookup!$B$17,0,(('SN8'!$D$10-0.2*Lookup!$B$17)^2/('SN8'!$D$10+0.8*Lookup!$B$17)))*$B$18+IF($D$10&lt;0.2*Lookup!$C$13,0,(('SN8'!$D$10-0.2*Lookup!$C$13)^2/('SN8'!C$10+0.8*Lookup!$C$13)))*$C$15+IF($D$10&lt;0.2*Lookup!$C$14,0,(('SN8'!$D$10-0.2*Lookup!$C$14)^2/('SN8'!$D$10+0.8*Lookup!$C$14)))*$C$16+IF($D$10&lt;0.2*Lookup!$C$15,0,(('SN8'!$D$10-0.2*Lookup!$C$15)^2/('SN8'!$D$10+0.8*Lookup!$C$15)))*$C$17+IF($D$10&lt;0.2*Lookup!$C$17,0,(('SN8'!$D$10-0.2*Lookup!$C$17)^2/('SN8'!$D$10+0.8*Lookup!$C$17)))*$C$18+IF($D$10&lt;0.2*Lookup!$D$13,0,(('SN8'!$D$10-0.2*Lookup!$D$13)^2/('SN8'!$D$10+0.8*Lookup!$D$13)))*$D$15+IF($D$10&lt;0.2*Lookup!$D$14,0,(('SN8'!$D$10-0.2*Lookup!$D$14)^2/('SN8'!$D$10+0.8*Lookup!$D$14)))*$D$16+IF($D$10&lt;0.2*Lookup!$D$15,0,(('SN8'!$D$10-0.2*Lookup!$D$15)^2/('SN8'!$D$10+0.8*Lookup!$D$15)))*$D$17+IF($D$10&lt;0.2*Lookup!$D$17,0,(('SN8'!$D$10-0.2*Lookup!$D$17)^2/('SN8'!$D$10+0.8*Lookup!$D$17)))*$D$18+IF($D$10&lt;0.2*Lookup!$E$13,0,(('SN8'!$D$10-0.2*Lookup!$E$13)^2/('SN8'!$D$10+0.8*Lookup!$E$13)))*$E$15+IF($D$10&lt;0.2*Lookup!$E$14,0,(('SN8'!$D$10-0.2*Lookup!$E$14)^2/('SN8'!$D$10+0.8*Lookup!$E$14)))*$E$16+IF($D$10&lt;0.2*Lookup!$E$15,0,(('SN8'!$D$10-0.2*Lookup!$E$15)^2/('SN8'!$D$10+0.8*Lookup!$E$15)))*$E$17++IF($D$10&lt;0.2*Lookup!$E$17,0,(('SN8'!$D$10-0.2*Lookup!$E$17)^2/('SN8'!$D$10+0.8*Lookup!$E$17)))*$E$18)/12</f>
        <v>0</v>
      </c>
      <c r="F44" s="257">
        <f>(IF($E$10&lt;0.2*Lookup!$B$13,0,(('SN8'!$E$10-0.2*Lookup!$B$13)^2/('SN8'!$E$10+0.8*Lookup!$B$13)))*$B$15+IF($E$10&lt;0.2*Lookup!$B$14,0,(('SN8'!$E$10-0.2*Lookup!$B$14)^2/('SN8'!$E$10+0.8*Lookup!$B$14)))*$B$16+IF($E$10&lt;0.2*Lookup!$B$15,0,(('SN8'!$E$10-0.2*Lookup!$B$15)^2/('SN8'!$E$10+0.8*Lookup!$B$15)))*$B$17++IF($E$10&lt;0.2*Lookup!$B$17,0,(('SN8'!$E$10-0.2*Lookup!$B$17)^2/('SN8'!$E$10+0.8*Lookup!$B$17)))*$B$18+IF($E$10&lt;0.2*Lookup!$C$13,0,(('SN8'!$E$10-0.2*Lookup!$C$13)^2/('SN8'!C$10+0.8*Lookup!$C$13)))*$C$15+IF($E$10&lt;0.2*Lookup!$C$14,0,(('SN8'!$E$10-0.2*Lookup!$C$14)^2/('SN8'!$E$10+0.8*Lookup!$C$14)))*$C$16+IF($E$10&lt;0.2*Lookup!$C$15,0,(('SN8'!$E$10-0.2*Lookup!$C$15)^2/('SN8'!$E$10+0.8*Lookup!$C$15)))*$C$17+IF($E$10&lt;0.2*Lookup!$C$17,0,(('SN8'!$E$10-0.2*Lookup!$C$17)^2/('SN8'!$E$10+0.8*Lookup!$C$17)))*$C$18+IF($E$10&lt;0.2*Lookup!$D$13,0,(('SN8'!$E$10-0.2*Lookup!$D$13)^2/('SN8'!$E$10+0.8*Lookup!$D$13)))*$D$15+IF($E$10&lt;0.2*Lookup!$D$14,0,(('SN8'!$E$10-0.2*Lookup!$D$14)^2/('SN8'!$E$10+0.8*Lookup!$D$14)))*$D$16+IF($E$10&lt;0.2*Lookup!$D$15,0,(('SN8'!$E$10-0.2*Lookup!$D$15)^2/('SN8'!$E$10+0.8*Lookup!$D$15)))*$D$17+IF($E$10&lt;0.2*Lookup!$D$17,0,(('SN8'!$E$10-0.2*Lookup!$D$17)^2/('SN8'!$E$10+0.8*Lookup!$D$17)))*$D$18+IF($E$10&lt;0.2*Lookup!$E$13,0,(('SN8'!$E$10-0.2*Lookup!$E$13)^2/('SN8'!$E$10+0.8*Lookup!$E$13)))*$E$15+IF($E$10&lt;0.2*Lookup!$E$14,0,(('SN8'!$E$10-0.2*Lookup!$E$14)^2/('SN8'!$E$10+0.8*Lookup!$E$14)))*$E$16+IF($E$10&lt;0.2*Lookup!$E$15,0,(('SN8'!$E$10-0.2*Lookup!$E$15)^2/('SN8'!$E$10+0.8*Lookup!$E$15)))*$E$17++IF($E$10&lt;0.2*Lookup!$E$17,0,(('SN8'!$E$10-0.2*Lookup!$E$17)^2/('SN8'!$E$10+0.8*Lookup!$E$17)))*$E$18)/12</f>
        <v>0</v>
      </c>
      <c r="G44" s="60"/>
      <c r="K44" s="13"/>
      <c r="L44" s="6"/>
      <c r="M44" s="13"/>
      <c r="N44" s="13"/>
      <c r="O44" s="13"/>
    </row>
    <row r="45" spans="1:15" ht="14.4" customHeight="1" x14ac:dyDescent="0.3">
      <c r="A45" s="383" t="s">
        <v>113</v>
      </c>
      <c r="B45" s="369"/>
      <c r="C45" s="384"/>
      <c r="D45" s="257">
        <f>(IF($C$10&lt;0.2*Lookup!$B$13,0,(('SN8'!$C$10-0.2*Lookup!$B$13)^2/('SN8'!$C$10+0.8*Lookup!$B$13)))*$B$24+IF($C$10&lt;0.2*Lookup!$B$14,0,(('SN8'!$C$10-0.2*Lookup!$B$14)^2/('SN8'!$C$10+0.8*Lookup!$B$14)))*$B$25+IF($C$10&lt;0.2*Lookup!$B$15,0,(('SN8'!$C$10-0.2*Lookup!$B$15)^2/('SN8'!$C$10+0.8*Lookup!$B$15)))*$B$26+IF($C$10&lt;0.2*Lookup!$C$13,0,(('SN8'!$C$10-0.2*Lookup!$C$13)^2/('SN8'!C$10+0.8*Lookup!$C$13)))*$C$24+IF($C$10&lt;0.2*Lookup!$C$14,0,(('SN8'!$C$10-0.2*Lookup!$C$14)^2/('SN8'!$C$10+0.8*Lookup!$C$14)))*$C$25+IF($C$10&lt;0.2*Lookup!$C$15,0,(('SN8'!$C$10-0.2*Lookup!$C$15)^2/('SN8'!$C$10+0.8*Lookup!$C$15)))*$C$26+IF($C$10&lt;0.2*Lookup!$D$13,0,(('SN8'!$C$10-0.2*Lookup!$D$13)^2/('SN8'!$C$10+0.8*Lookup!$D$13)))*$D$24+IF($C$10&lt;0.2*Lookup!$D$14,0,(('SN8'!$C$10-0.2*Lookup!$D$14)^2/('SN8'!$C$10+0.8*Lookup!$D$14)))*$D$25+IF($C$10&lt;0.2*Lookup!$D$15,0,(('SN8'!$C$10-0.2*Lookup!$D$15)^2/('SN8'!$C$10+0.8*Lookup!$D$15)))*$D$26+IF($C$10&lt;0.2*Lookup!$E$13,0,(('SN8'!$C$10-0.2*Lookup!$E$13)^2/('SN8'!$C$10+0.8*Lookup!$E$13)))*$E$24+IF($C$10&lt;0.2*Lookup!$E$14,0,(('SN8'!$C$10-0.2*Lookup!$E$14)^2/('SN8'!$C$10+0.8*Lookup!$E$14)))*$E$25+IF($C$10&lt;0.2*Lookup!$E$15,0,(('SN8'!$C$10-0.2*Lookup!$E$15)^2/('SN8'!$C$10+0.8*Lookup!$E$15)))*$E$26+(($C$10-0.2*Lookup!B17)^2/($C$10+0.8*Lookup!B17)*(F27+F28+F29+F30)))/12</f>
        <v>0</v>
      </c>
      <c r="E45" s="257">
        <f>(IF($D$10&lt;0.2*Lookup!$B$13,0,(('SN8'!$D$10-0.2*Lookup!$B$13)^2/('SN8'!$D$10+0.8*Lookup!$B$13)))*$B$24+IF($D$10&lt;0.2*Lookup!$B$14,0,(('SN8'!$D$10-0.2*Lookup!$B$14)^2/('SN8'!$D$10+0.8*Lookup!$B$14)))*$B$25+IF($D$10&lt;0.2*Lookup!$B$15,0,(('SN8'!$D$10-0.2*Lookup!$B$15)^2/('SN8'!$D$10+0.8*Lookup!$B$15)))*$B$26+IF($D$10&lt;0.2*Lookup!$C$13,0,(('SN8'!$D$10-0.2*Lookup!$C$13)^2/('SN8'!C$10+0.8*Lookup!$C$13)))*$C$24+IF($D$10&lt;0.2*Lookup!$C$14,0,(('SN8'!$D$10-0.2*Lookup!$C$14)^2/('SN8'!$D$10+0.8*Lookup!$C$14)))*$C$25+IF($D$10&lt;0.2*Lookup!$C$15,0,(('SN8'!$D$10-0.2*Lookup!$C$15)^2/('SN8'!$D$10+0.8*Lookup!$C$15)))*$C$26+IF($D$10&lt;0.2*Lookup!$D$13,0,(('SN8'!$D$10-0.2*Lookup!$D$13)^2/('SN8'!$D$10+0.8*Lookup!$D$13)))*$D$24+IF($D$10&lt;0.2*Lookup!$D$14,0,(('SN8'!$D$10-0.2*Lookup!$D$14)^2/('SN8'!$D$10+0.8*Lookup!$D$14)))*$D$25+IF($D$10&lt;0.2*Lookup!$D$15,0,(('SN8'!$D$10-0.2*Lookup!$D$15)^2/('SN8'!$D$10+0.8*Lookup!$D$15)))*$D$26+IF($D$10&lt;0.2*Lookup!$E$13,0,(('SN8'!$D$10-0.2*Lookup!$E$13)^2/('SN8'!$D$10+0.8*Lookup!$E$13)))*$E$24+IF($D$10&lt;0.2*Lookup!$E$14,0,(('SN8'!$D$10-0.2*Lookup!$E$14)^2/('SN8'!$D$10+0.8*Lookup!$E$14)))*$E$25+IF($D$10&lt;0.2*Lookup!$E$15,0,(('SN8'!$D$10-0.2*Lookup!$E$15)^2/('SN8'!$D$10+0.8*Lookup!$E$15)))*$E$26+(($D$10-0.2*Lookup!B17)^2/($D$10+0.8*Lookup!B17)*(F27+F28+F29+F30)))/12</f>
        <v>0</v>
      </c>
      <c r="F45" s="257">
        <f>(IF($E$10&lt;0.2*Lookup!$B$13,0,(('SN8'!$E$10-0.2*Lookup!$B$13)^2/('SN8'!$E$10+0.8*Lookup!$B$13)))*$B$24+IF($E$10&lt;0.2*Lookup!$B$14,0,(('SN8'!$E$10-0.2*Lookup!$B$14)^2/('SN8'!$E$10+0.8*Lookup!$B$14)))*$B$25+IF($E$10&lt;0.2*Lookup!$B$15,0,(('SN8'!$E$10-0.2*Lookup!$B$15)^2/('SN8'!$E$10+0.8*Lookup!$B$15)))*$B$26+IF($E$10&lt;0.2*Lookup!$C$13,0,(('SN8'!$E$10-0.2*Lookup!$C$13)^2/('SN8'!C$10+0.8*Lookup!$C$13)))*$C$24+IF($E$10&lt;0.2*Lookup!$C$14,0,(('SN8'!$E$10-0.2*Lookup!$C$14)^2/('SN8'!$E$10+0.8*Lookup!$C$14)))*$C$25+IF($E$10&lt;0.2*Lookup!$C$15,0,(('SN8'!$E$10-0.2*Lookup!$C$15)^2/('SN8'!$E$10+0.8*Lookup!$C$15)))*$C$26+IF($E$10&lt;0.2*Lookup!$D$13,0,(('SN8'!$E$10-0.2*Lookup!$D$13)^2/('SN8'!$E$10+0.8*Lookup!$D$13)))*$D$24+IF($E$10&lt;0.2*Lookup!$D$14,0,(('SN8'!$E$10-0.2*Lookup!$D$14)^2/('SN8'!$E$10+0.8*Lookup!$D$14)))*$D$25+IF($E$10&lt;0.2*Lookup!$D$15,0,(('SN8'!$E$10-0.2*Lookup!$D$15)^2/('SN8'!$E$10+0.8*Lookup!$D$15)))*$D$26+IF($E$10&lt;0.2*Lookup!$E$13,0,(('SN8'!$E$10-0.2*Lookup!$E$13)^2/('SN8'!$E$10+0.8*Lookup!$E$13)))*$E$24+IF($E$10&lt;0.2*Lookup!$E$14,0,(('SN8'!$E$10-0.2*Lookup!$E$14)^2/('SN8'!$E$10+0.8*Lookup!$E$14)))*$E$25+IF($E$10&lt;0.2*Lookup!$E$15,0,(('SN8'!$E$10-0.2*Lookup!$E$15)^2/('SN8'!$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73" priority="36">
      <formula>$F$67=2</formula>
    </cfRule>
  </conditionalFormatting>
  <conditionalFormatting sqref="E90:F90">
    <cfRule type="expression" dxfId="72" priority="35">
      <formula>$F$89=2</formula>
    </cfRule>
  </conditionalFormatting>
  <conditionalFormatting sqref="E103:F103">
    <cfRule type="expression" dxfId="71" priority="34">
      <formula>$F$102=2</formula>
    </cfRule>
  </conditionalFormatting>
  <conditionalFormatting sqref="E115:F115">
    <cfRule type="expression" dxfId="70" priority="33">
      <formula>$F$114=2</formula>
    </cfRule>
  </conditionalFormatting>
  <conditionalFormatting sqref="B105:F105 D108">
    <cfRule type="expression" dxfId="69" priority="32">
      <formula>$F$102=1</formula>
    </cfRule>
  </conditionalFormatting>
  <conditionalFormatting sqref="D106">
    <cfRule type="expression" dxfId="68" priority="31">
      <formula>$F$102=1</formula>
    </cfRule>
  </conditionalFormatting>
  <conditionalFormatting sqref="B117:F117 D120">
    <cfRule type="expression" dxfId="67" priority="30">
      <formula>$F$114=1</formula>
    </cfRule>
  </conditionalFormatting>
  <conditionalFormatting sqref="B82:D82 B83:B84 E82:E84">
    <cfRule type="expression" dxfId="66" priority="37">
      <formula>$F$79&gt;0</formula>
    </cfRule>
  </conditionalFormatting>
  <conditionalFormatting sqref="E97">
    <cfRule type="expression" dxfId="65" priority="29">
      <formula>$G$94=TRUE</formula>
    </cfRule>
  </conditionalFormatting>
  <conditionalFormatting sqref="D119">
    <cfRule type="expression" dxfId="64" priority="28">
      <formula>$F$114=1</formula>
    </cfRule>
  </conditionalFormatting>
  <conditionalFormatting sqref="D118">
    <cfRule type="expression" dxfId="63" priority="27">
      <formula>$F$114=1</formula>
    </cfRule>
  </conditionalFormatting>
  <conditionalFormatting sqref="D107">
    <cfRule type="expression" dxfId="62" priority="26">
      <formula>$F$102=1</formula>
    </cfRule>
  </conditionalFormatting>
  <conditionalFormatting sqref="C64">
    <cfRule type="expression" dxfId="61" priority="25">
      <formula>$C$64="n/a"</formula>
    </cfRule>
  </conditionalFormatting>
  <conditionalFormatting sqref="B82:E84">
    <cfRule type="expression" dxfId="60" priority="24">
      <formula>$F$79="N/A"</formula>
    </cfRule>
  </conditionalFormatting>
  <conditionalFormatting sqref="C61">
    <cfRule type="expression" dxfId="59" priority="21">
      <formula>C61="n/a"</formula>
    </cfRule>
    <cfRule type="expression" dxfId="58" priority="22">
      <formula>C61="No"</formula>
    </cfRule>
    <cfRule type="expression" dxfId="57" priority="23">
      <formula>C61="Yes"</formula>
    </cfRule>
  </conditionalFormatting>
  <conditionalFormatting sqref="B61">
    <cfRule type="expression" dxfId="56" priority="18">
      <formula>B61="n/a"</formula>
    </cfRule>
    <cfRule type="expression" dxfId="55" priority="19">
      <formula>B61="No"</formula>
    </cfRule>
    <cfRule type="expression" dxfId="54" priority="20">
      <formula>B61="Yes"</formula>
    </cfRule>
  </conditionalFormatting>
  <conditionalFormatting sqref="D61:F61">
    <cfRule type="expression" dxfId="53" priority="15">
      <formula>D61="n/a"</formula>
    </cfRule>
    <cfRule type="expression" dxfId="52" priority="16">
      <formula>D61="No"</formula>
    </cfRule>
    <cfRule type="expression" dxfId="51" priority="17">
      <formula>D61="Yes"</formula>
    </cfRule>
  </conditionalFormatting>
  <conditionalFormatting sqref="B70">
    <cfRule type="expression" dxfId="50" priority="12">
      <formula>B70="n/a"</formula>
    </cfRule>
    <cfRule type="expression" dxfId="49" priority="13">
      <formula>B70="No"</formula>
    </cfRule>
    <cfRule type="expression" dxfId="48" priority="14">
      <formula>B70="Yes"</formula>
    </cfRule>
  </conditionalFormatting>
  <conditionalFormatting sqref="B91">
    <cfRule type="expression" dxfId="47" priority="9">
      <formula>B91="n/a"</formula>
    </cfRule>
    <cfRule type="expression" dxfId="46" priority="10">
      <formula>B91="No"</formula>
    </cfRule>
    <cfRule type="expression" dxfId="45" priority="11">
      <formula>B91="Yes"</formula>
    </cfRule>
  </conditionalFormatting>
  <conditionalFormatting sqref="B104">
    <cfRule type="expression" dxfId="44" priority="6">
      <formula>B104="n/a"</formula>
    </cfRule>
    <cfRule type="expression" dxfId="43" priority="7">
      <formula>B104="No"</formula>
    </cfRule>
    <cfRule type="expression" dxfId="42" priority="8">
      <formula>B104="Yes"</formula>
    </cfRule>
  </conditionalFormatting>
  <conditionalFormatting sqref="B116">
    <cfRule type="expression" dxfId="41" priority="3">
      <formula>B116="n/a"</formula>
    </cfRule>
    <cfRule type="expression" dxfId="40" priority="4">
      <formula>B116="No"</formula>
    </cfRule>
    <cfRule type="expression" dxfId="39" priority="5">
      <formula>B116="Yes"</formula>
    </cfRule>
  </conditionalFormatting>
  <conditionalFormatting sqref="F75">
    <cfRule type="expression" dxfId="38" priority="2">
      <formula>$E$75&gt;=5%</formula>
    </cfRule>
  </conditionalFormatting>
  <conditionalFormatting sqref="F76">
    <cfRule type="expression" dxfId="37" priority="1">
      <formula>$E$76&gt;0</formula>
    </cfRule>
  </conditionalFormatting>
  <dataValidations count="2">
    <dataValidation type="decimal" allowBlank="1" showInputMessage="1" showErrorMessage="1" errorTitle="Invalid Latitude!" error="You've entered a latitude that is not in Vermont." sqref="D5:F5" xr:uid="{9AC85E0F-443F-46B8-93B1-D4568F4A390E}">
      <formula1>42.72</formula1>
      <formula2>45.02</formula2>
    </dataValidation>
    <dataValidation type="decimal" allowBlank="1" showInputMessage="1" showErrorMessage="1" errorTitle="Invalid Longitude" error="You've entered a longitude outside of Vermont.  Longitude values in VT should always be negative." sqref="D6:F6" xr:uid="{717340D5-C605-4580-8B03-344EAA2B27A9}">
      <formula1>-73.732</formula1>
      <formula2>-71.46</formula2>
    </dataValidation>
  </dataValidations>
  <hyperlinks>
    <hyperlink ref="E8" r:id="rId1" xr:uid="{A9332943-B763-4B7B-AF7F-F5BD7C1C6906}"/>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028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029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029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029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029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029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029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029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029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029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029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030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030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030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030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030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030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030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030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030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030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031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031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031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031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3C398585-FF2C-4518-B1BF-CF28B98A6CEB}">
          <x14:formula1>
            <xm:f>Lookup!$G$11:$G$23</xm:f>
          </x14:formula1>
          <xm:sqref>A50:A54 C50:D54</xm:sqref>
        </x14:dataValidation>
        <x14:dataValidation type="list" allowBlank="1" showInputMessage="1" showErrorMessage="1" xr:uid="{4B7EEC00-0750-4B46-B9A7-6A99C5BD3C6E}">
          <x14:formula1>
            <xm:f>Lookup!$G$12:$G$23</xm:f>
          </x14:formula1>
          <xm:sqref>A55</xm:sqref>
        </x14:dataValidation>
        <x14:dataValidation type="list" allowBlank="1" showInputMessage="1" showErrorMessage="1" xr:uid="{B68F1623-7BD0-4F10-95EB-C8B14032C8D4}">
          <x14:formula1>
            <xm:f>Lookup!$H$13:$H$19</xm:f>
          </x14:formula1>
          <xm:sqref>C82:D82 B82:B84</xm:sqref>
        </x14:dataValidation>
        <x14:dataValidation type="list" allowBlank="1" showInputMessage="1" showErrorMessage="1" xr:uid="{2E07470B-4D4F-40CA-8807-C855DAE8898E}">
          <x14:formula1>
            <xm:f>Lookup!$J$4:$J$8</xm:f>
          </x14:formula1>
          <xm:sqref>E115:F115</xm:sqref>
        </x14:dataValidation>
        <x14:dataValidation type="list" allowBlank="1" showInputMessage="1" showErrorMessage="1" xr:uid="{E515B614-1534-4C66-9900-C32D9FCED633}">
          <x14:formula1>
            <xm:f>Lookup!$I$4:$I$8</xm:f>
          </x14:formula1>
          <xm:sqref>E103:F103</xm:sqref>
        </x14:dataValidation>
        <x14:dataValidation type="list" allowBlank="1" showInputMessage="1" showErrorMessage="1" xr:uid="{F35910BB-B14F-4C5E-A33D-E085023F2CEA}">
          <x14:formula1>
            <xm:f>Lookup!$H$4:$H$7</xm:f>
          </x14:formula1>
          <xm:sqref>E90:F90</xm:sqref>
        </x14:dataValidation>
        <x14:dataValidation type="list" allowBlank="1" showInputMessage="1" showErrorMessage="1" xr:uid="{CD7A7187-74D5-4A7D-8C94-8ABE11B7AE30}">
          <x14:formula1>
            <xm:f>Lookup!$G$3:$G$6</xm:f>
          </x14:formula1>
          <xm:sqref>E68:F68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0949C-2970-445C-A572-9ACC8CD406CC}">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9'!$C$10-0.2*Lookup!$B$13)^2/('SN9'!$C$10+0.8*Lookup!$B$13)))*$B$15+IF($C$10&lt;0.2*Lookup!$B$14,0,(('SN9'!$C$10-0.2*Lookup!$B$14)^2/('SN9'!$C$10+0.8*Lookup!$B$14)))*$B$16+IF($C$10&lt;0.2*Lookup!$B$15,0,(('SN9'!$C$10-0.2*Lookup!$B$15)^2/('SN9'!$C$10+0.8*Lookup!$B$15)))*$B$17++IF($C$10&lt;0.2*Lookup!$B$17,0,(('SN9'!$C$10-0.2*Lookup!$B$17)^2/('SN9'!$C$10+0.8*Lookup!$B$17)))*$B$18+IF($C$10&lt;0.2*Lookup!$C$13,0,(('SN9'!$C$10-0.2*Lookup!$C$13)^2/('SN9'!C$10+0.8*Lookup!$C$13)))*$C$15+IF($C$10&lt;0.2*Lookup!$C$14,0,(('SN9'!$C$10-0.2*Lookup!$C$14)^2/('SN9'!$C$10+0.8*Lookup!$C$14)))*$C$16+IF($C$10&lt;0.2*Lookup!$C$15,0,(('SN9'!$C$10-0.2*Lookup!$C$15)^2/('SN9'!$C$10+0.8*Lookup!$C$15)))*$C$17+IF($C$10&lt;0.2*Lookup!$C$17,0,(('SN9'!$C$10-0.2*Lookup!$C$17)^2/('SN9'!$C$10+0.8*Lookup!$C$17)))*$C$18+IF($C$10&lt;0.2*Lookup!$D$13,0,(('SN9'!$C$10-0.2*Lookup!$D$13)^2/('SN9'!$C$10+0.8*Lookup!$D$13)))*$D$15+IF($C$10&lt;0.2*Lookup!$D$14,0,(('SN9'!$C$10-0.2*Lookup!$D$14)^2/('SN9'!$C$10+0.8*Lookup!$D$14)))*$D$16+IF($C$10&lt;0.2*Lookup!$D$15,0,(('SN9'!$C$10-0.2*Lookup!$D$15)^2/('SN9'!$C$10+0.8*Lookup!$D$15)))*$D$17+IF($C$10&lt;0.2*Lookup!$D$17,0,(('SN9'!$C$10-0.2*Lookup!$D$17)^2/('SN9'!$C$10+0.8*Lookup!$D$17)))*$D$18+IF($C$10&lt;0.2*Lookup!$E$13,0,(('SN9'!$C$10-0.2*Lookup!$E$13)^2/('SN9'!$C$10+0.8*Lookup!$E$13)))*$E$15+IF($C$10&lt;0.2*Lookup!$E$14,0,(('SN9'!$C$10-0.2*Lookup!$E$14)^2/('SN9'!$C$10+0.8*Lookup!$E$14)))*$E$16+IF($C$10&lt;0.2*Lookup!$E$15,0,(('SN9'!$C$10-0.2*Lookup!$E$15)^2/('SN9'!$C$10+0.8*Lookup!$E$15)))*$E$17+IF($C$10&lt;0.2*Lookup!$E$17,0,(('SN9'!$C$10-0.2*Lookup!$E$17)^2/('SN9'!$C$10+0.8*Lookup!$E$17)))*$E$18)/12</f>
        <v>0</v>
      </c>
      <c r="E44" s="257">
        <f>(IF($D$10&lt;0.2*Lookup!$B$13,0,(('SN9'!$D$10-0.2*Lookup!$B$13)^2/('SN9'!$D$10+0.8*Lookup!$B$13)))*$B$15+IF($D$10&lt;0.2*Lookup!$B$14,0,(('SN9'!$D$10-0.2*Lookup!$B$14)^2/('SN9'!$D$10+0.8*Lookup!$B$14)))*$B$16+IF($D$10&lt;0.2*Lookup!$B$15,0,(('SN9'!$D$10-0.2*Lookup!$B$15)^2/('SN9'!$D$10+0.8*Lookup!$B$15)))*$B$17++IF($D$10&lt;0.2*Lookup!$B$17,0,(('SN9'!$D$10-0.2*Lookup!$B$17)^2/('SN9'!$D$10+0.8*Lookup!$B$17)))*$B$18+IF($D$10&lt;0.2*Lookup!$C$13,0,(('SN9'!$D$10-0.2*Lookup!$C$13)^2/('SN9'!C$10+0.8*Lookup!$C$13)))*$C$15+IF($D$10&lt;0.2*Lookup!$C$14,0,(('SN9'!$D$10-0.2*Lookup!$C$14)^2/('SN9'!$D$10+0.8*Lookup!$C$14)))*$C$16+IF($D$10&lt;0.2*Lookup!$C$15,0,(('SN9'!$D$10-0.2*Lookup!$C$15)^2/('SN9'!$D$10+0.8*Lookup!$C$15)))*$C$17+IF($D$10&lt;0.2*Lookup!$C$17,0,(('SN9'!$D$10-0.2*Lookup!$C$17)^2/('SN9'!$D$10+0.8*Lookup!$C$17)))*$C$18+IF($D$10&lt;0.2*Lookup!$D$13,0,(('SN9'!$D$10-0.2*Lookup!$D$13)^2/('SN9'!$D$10+0.8*Lookup!$D$13)))*$D$15+IF($D$10&lt;0.2*Lookup!$D$14,0,(('SN9'!$D$10-0.2*Lookup!$D$14)^2/('SN9'!$D$10+0.8*Lookup!$D$14)))*$D$16+IF($D$10&lt;0.2*Lookup!$D$15,0,(('SN9'!$D$10-0.2*Lookup!$D$15)^2/('SN9'!$D$10+0.8*Lookup!$D$15)))*$D$17+IF($D$10&lt;0.2*Lookup!$D$17,0,(('SN9'!$D$10-0.2*Lookup!$D$17)^2/('SN9'!$D$10+0.8*Lookup!$D$17)))*$D$18+IF($D$10&lt;0.2*Lookup!$E$13,0,(('SN9'!$D$10-0.2*Lookup!$E$13)^2/('SN9'!$D$10+0.8*Lookup!$E$13)))*$E$15+IF($D$10&lt;0.2*Lookup!$E$14,0,(('SN9'!$D$10-0.2*Lookup!$E$14)^2/('SN9'!$D$10+0.8*Lookup!$E$14)))*$E$16+IF($D$10&lt;0.2*Lookup!$E$15,0,(('SN9'!$D$10-0.2*Lookup!$E$15)^2/('SN9'!$D$10+0.8*Lookup!$E$15)))*$E$17++IF($D$10&lt;0.2*Lookup!$E$17,0,(('SN9'!$D$10-0.2*Lookup!$E$17)^2/('SN9'!$D$10+0.8*Lookup!$E$17)))*$E$18)/12</f>
        <v>0</v>
      </c>
      <c r="F44" s="257">
        <f>(IF($E$10&lt;0.2*Lookup!$B$13,0,(('SN9'!$E$10-0.2*Lookup!$B$13)^2/('SN9'!$E$10+0.8*Lookup!$B$13)))*$B$15+IF($E$10&lt;0.2*Lookup!$B$14,0,(('SN9'!$E$10-0.2*Lookup!$B$14)^2/('SN9'!$E$10+0.8*Lookup!$B$14)))*$B$16+IF($E$10&lt;0.2*Lookup!$B$15,0,(('SN9'!$E$10-0.2*Lookup!$B$15)^2/('SN9'!$E$10+0.8*Lookup!$B$15)))*$B$17++IF($E$10&lt;0.2*Lookup!$B$17,0,(('SN9'!$E$10-0.2*Lookup!$B$17)^2/('SN9'!$E$10+0.8*Lookup!$B$17)))*$B$18+IF($E$10&lt;0.2*Lookup!$C$13,0,(('SN9'!$E$10-0.2*Lookup!$C$13)^2/('SN9'!C$10+0.8*Lookup!$C$13)))*$C$15+IF($E$10&lt;0.2*Lookup!$C$14,0,(('SN9'!$E$10-0.2*Lookup!$C$14)^2/('SN9'!$E$10+0.8*Lookup!$C$14)))*$C$16+IF($E$10&lt;0.2*Lookup!$C$15,0,(('SN9'!$E$10-0.2*Lookup!$C$15)^2/('SN9'!$E$10+0.8*Lookup!$C$15)))*$C$17+IF($E$10&lt;0.2*Lookup!$C$17,0,(('SN9'!$E$10-0.2*Lookup!$C$17)^2/('SN9'!$E$10+0.8*Lookup!$C$17)))*$C$18+IF($E$10&lt;0.2*Lookup!$D$13,0,(('SN9'!$E$10-0.2*Lookup!$D$13)^2/('SN9'!$E$10+0.8*Lookup!$D$13)))*$D$15+IF($E$10&lt;0.2*Lookup!$D$14,0,(('SN9'!$E$10-0.2*Lookup!$D$14)^2/('SN9'!$E$10+0.8*Lookup!$D$14)))*$D$16+IF($E$10&lt;0.2*Lookup!$D$15,0,(('SN9'!$E$10-0.2*Lookup!$D$15)^2/('SN9'!$E$10+0.8*Lookup!$D$15)))*$D$17+IF($E$10&lt;0.2*Lookup!$D$17,0,(('SN9'!$E$10-0.2*Lookup!$D$17)^2/('SN9'!$E$10+0.8*Lookup!$D$17)))*$D$18+IF($E$10&lt;0.2*Lookup!$E$13,0,(('SN9'!$E$10-0.2*Lookup!$E$13)^2/('SN9'!$E$10+0.8*Lookup!$E$13)))*$E$15+IF($E$10&lt;0.2*Lookup!$E$14,0,(('SN9'!$E$10-0.2*Lookup!$E$14)^2/('SN9'!$E$10+0.8*Lookup!$E$14)))*$E$16+IF($E$10&lt;0.2*Lookup!$E$15,0,(('SN9'!$E$10-0.2*Lookup!$E$15)^2/('SN9'!$E$10+0.8*Lookup!$E$15)))*$E$17++IF($E$10&lt;0.2*Lookup!$E$17,0,(('SN9'!$E$10-0.2*Lookup!$E$17)^2/('SN9'!$E$10+0.8*Lookup!$E$17)))*$E$18)/12</f>
        <v>0</v>
      </c>
      <c r="G44" s="60"/>
      <c r="K44" s="13"/>
      <c r="L44" s="6"/>
      <c r="M44" s="13"/>
      <c r="N44" s="13"/>
      <c r="O44" s="13"/>
    </row>
    <row r="45" spans="1:15" ht="14.4" customHeight="1" x14ac:dyDescent="0.3">
      <c r="A45" s="383" t="s">
        <v>113</v>
      </c>
      <c r="B45" s="369"/>
      <c r="C45" s="384"/>
      <c r="D45" s="257">
        <f>(IF($C$10&lt;0.2*Lookup!$B$13,0,(('SN9'!$C$10-0.2*Lookup!$B$13)^2/('SN9'!$C$10+0.8*Lookup!$B$13)))*$B$24+IF($C$10&lt;0.2*Lookup!$B$14,0,(('SN9'!$C$10-0.2*Lookup!$B$14)^2/('SN9'!$C$10+0.8*Lookup!$B$14)))*$B$25+IF($C$10&lt;0.2*Lookup!$B$15,0,(('SN9'!$C$10-0.2*Lookup!$B$15)^2/('SN9'!$C$10+0.8*Lookup!$B$15)))*$B$26+IF($C$10&lt;0.2*Lookup!$C$13,0,(('SN9'!$C$10-0.2*Lookup!$C$13)^2/('SN9'!C$10+0.8*Lookup!$C$13)))*$C$24+IF($C$10&lt;0.2*Lookup!$C$14,0,(('SN9'!$C$10-0.2*Lookup!$C$14)^2/('SN9'!$C$10+0.8*Lookup!$C$14)))*$C$25+IF($C$10&lt;0.2*Lookup!$C$15,0,(('SN9'!$C$10-0.2*Lookup!$C$15)^2/('SN9'!$C$10+0.8*Lookup!$C$15)))*$C$26+IF($C$10&lt;0.2*Lookup!$D$13,0,(('SN9'!$C$10-0.2*Lookup!$D$13)^2/('SN9'!$C$10+0.8*Lookup!$D$13)))*$D$24+IF($C$10&lt;0.2*Lookup!$D$14,0,(('SN9'!$C$10-0.2*Lookup!$D$14)^2/('SN9'!$C$10+0.8*Lookup!$D$14)))*$D$25+IF($C$10&lt;0.2*Lookup!$D$15,0,(('SN9'!$C$10-0.2*Lookup!$D$15)^2/('SN9'!$C$10+0.8*Lookup!$D$15)))*$D$26+IF($C$10&lt;0.2*Lookup!$E$13,0,(('SN9'!$C$10-0.2*Lookup!$E$13)^2/('SN9'!$C$10+0.8*Lookup!$E$13)))*$E$24+IF($C$10&lt;0.2*Lookup!$E$14,0,(('SN9'!$C$10-0.2*Lookup!$E$14)^2/('SN9'!$C$10+0.8*Lookup!$E$14)))*$E$25+IF($C$10&lt;0.2*Lookup!$E$15,0,(('SN9'!$C$10-0.2*Lookup!$E$15)^2/('SN9'!$C$10+0.8*Lookup!$E$15)))*$E$26+(($C$10-0.2*Lookup!B17)^2/($C$10+0.8*Lookup!B17)*(F27+F28+F29+F30)))/12</f>
        <v>0</v>
      </c>
      <c r="E45" s="257">
        <f>(IF($D$10&lt;0.2*Lookup!$B$13,0,(('SN9'!$D$10-0.2*Lookup!$B$13)^2/('SN9'!$D$10+0.8*Lookup!$B$13)))*$B$24+IF($D$10&lt;0.2*Lookup!$B$14,0,(('SN9'!$D$10-0.2*Lookup!$B$14)^2/('SN9'!$D$10+0.8*Lookup!$B$14)))*$B$25+IF($D$10&lt;0.2*Lookup!$B$15,0,(('SN9'!$D$10-0.2*Lookup!$B$15)^2/('SN9'!$D$10+0.8*Lookup!$B$15)))*$B$26+IF($D$10&lt;0.2*Lookup!$C$13,0,(('SN9'!$D$10-0.2*Lookup!$C$13)^2/('SN9'!C$10+0.8*Lookup!$C$13)))*$C$24+IF($D$10&lt;0.2*Lookup!$C$14,0,(('SN9'!$D$10-0.2*Lookup!$C$14)^2/('SN9'!$D$10+0.8*Lookup!$C$14)))*$C$25+IF($D$10&lt;0.2*Lookup!$C$15,0,(('SN9'!$D$10-0.2*Lookup!$C$15)^2/('SN9'!$D$10+0.8*Lookup!$C$15)))*$C$26+IF($D$10&lt;0.2*Lookup!$D$13,0,(('SN9'!$D$10-0.2*Lookup!$D$13)^2/('SN9'!$D$10+0.8*Lookup!$D$13)))*$D$24+IF($D$10&lt;0.2*Lookup!$D$14,0,(('SN9'!$D$10-0.2*Lookup!$D$14)^2/('SN9'!$D$10+0.8*Lookup!$D$14)))*$D$25+IF($D$10&lt;0.2*Lookup!$D$15,0,(('SN9'!$D$10-0.2*Lookup!$D$15)^2/('SN9'!$D$10+0.8*Lookup!$D$15)))*$D$26+IF($D$10&lt;0.2*Lookup!$E$13,0,(('SN9'!$D$10-0.2*Lookup!$E$13)^2/('SN9'!$D$10+0.8*Lookup!$E$13)))*$E$24+IF($D$10&lt;0.2*Lookup!$E$14,0,(('SN9'!$D$10-0.2*Lookup!$E$14)^2/('SN9'!$D$10+0.8*Lookup!$E$14)))*$E$25+IF($D$10&lt;0.2*Lookup!$E$15,0,(('SN9'!$D$10-0.2*Lookup!$E$15)^2/('SN9'!$D$10+0.8*Lookup!$E$15)))*$E$26+(($D$10-0.2*Lookup!B17)^2/($D$10+0.8*Lookup!B17)*(F27+F28+F29+F30)))/12</f>
        <v>0</v>
      </c>
      <c r="F45" s="257">
        <f>(IF($E$10&lt;0.2*Lookup!$B$13,0,(('SN9'!$E$10-0.2*Lookup!$B$13)^2/('SN9'!$E$10+0.8*Lookup!$B$13)))*$B$24+IF($E$10&lt;0.2*Lookup!$B$14,0,(('SN9'!$E$10-0.2*Lookup!$B$14)^2/('SN9'!$E$10+0.8*Lookup!$B$14)))*$B$25+IF($E$10&lt;0.2*Lookup!$B$15,0,(('SN9'!$E$10-0.2*Lookup!$B$15)^2/('SN9'!$E$10+0.8*Lookup!$B$15)))*$B$26+IF($E$10&lt;0.2*Lookup!$C$13,0,(('SN9'!$E$10-0.2*Lookup!$C$13)^2/('SN9'!C$10+0.8*Lookup!$C$13)))*$C$24+IF($E$10&lt;0.2*Lookup!$C$14,0,(('SN9'!$E$10-0.2*Lookup!$C$14)^2/('SN9'!$E$10+0.8*Lookup!$C$14)))*$C$25+IF($E$10&lt;0.2*Lookup!$C$15,0,(('SN9'!$E$10-0.2*Lookup!$C$15)^2/('SN9'!$E$10+0.8*Lookup!$C$15)))*$C$26+IF($E$10&lt;0.2*Lookup!$D$13,0,(('SN9'!$E$10-0.2*Lookup!$D$13)^2/('SN9'!$E$10+0.8*Lookup!$D$13)))*$D$24+IF($E$10&lt;0.2*Lookup!$D$14,0,(('SN9'!$E$10-0.2*Lookup!$D$14)^2/('SN9'!$E$10+0.8*Lookup!$D$14)))*$D$25+IF($E$10&lt;0.2*Lookup!$D$15,0,(('SN9'!$E$10-0.2*Lookup!$D$15)^2/('SN9'!$E$10+0.8*Lookup!$D$15)))*$D$26+IF($E$10&lt;0.2*Lookup!$E$13,0,(('SN9'!$E$10-0.2*Lookup!$E$13)^2/('SN9'!$E$10+0.8*Lookup!$E$13)))*$E$24+IF($E$10&lt;0.2*Lookup!$E$14,0,(('SN9'!$E$10-0.2*Lookup!$E$14)^2/('SN9'!$E$10+0.8*Lookup!$E$14)))*$E$25+IF($E$10&lt;0.2*Lookup!$E$15,0,(('SN9'!$E$10-0.2*Lookup!$E$15)^2/('SN9'!$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36" priority="36">
      <formula>$F$67=2</formula>
    </cfRule>
  </conditionalFormatting>
  <conditionalFormatting sqref="E90:F90">
    <cfRule type="expression" dxfId="35" priority="35">
      <formula>$F$89=2</formula>
    </cfRule>
  </conditionalFormatting>
  <conditionalFormatting sqref="E103:F103">
    <cfRule type="expression" dxfId="34" priority="34">
      <formula>$F$102=2</formula>
    </cfRule>
  </conditionalFormatting>
  <conditionalFormatting sqref="E115:F115">
    <cfRule type="expression" dxfId="33" priority="33">
      <formula>$F$114=2</formula>
    </cfRule>
  </conditionalFormatting>
  <conditionalFormatting sqref="B105:F105 D108">
    <cfRule type="expression" dxfId="32" priority="32">
      <formula>$F$102=1</formula>
    </cfRule>
  </conditionalFormatting>
  <conditionalFormatting sqref="D106">
    <cfRule type="expression" dxfId="31" priority="31">
      <formula>$F$102=1</formula>
    </cfRule>
  </conditionalFormatting>
  <conditionalFormatting sqref="B117:F117 D120">
    <cfRule type="expression" dxfId="30" priority="30">
      <formula>$F$114=1</formula>
    </cfRule>
  </conditionalFormatting>
  <conditionalFormatting sqref="B82:D82 B83:B84 E82:E84">
    <cfRule type="expression" dxfId="29" priority="37">
      <formula>$F$79&gt;0</formula>
    </cfRule>
  </conditionalFormatting>
  <conditionalFormatting sqref="E97">
    <cfRule type="expression" dxfId="28" priority="29">
      <formula>$G$94=TRUE</formula>
    </cfRule>
  </conditionalFormatting>
  <conditionalFormatting sqref="D119">
    <cfRule type="expression" dxfId="27" priority="28">
      <formula>$F$114=1</formula>
    </cfRule>
  </conditionalFormatting>
  <conditionalFormatting sqref="D118">
    <cfRule type="expression" dxfId="26" priority="27">
      <formula>$F$114=1</formula>
    </cfRule>
  </conditionalFormatting>
  <conditionalFormatting sqref="D107">
    <cfRule type="expression" dxfId="25" priority="26">
      <formula>$F$102=1</formula>
    </cfRule>
  </conditionalFormatting>
  <conditionalFormatting sqref="C64">
    <cfRule type="expression" dxfId="24" priority="25">
      <formula>$C$64="n/a"</formula>
    </cfRule>
  </conditionalFormatting>
  <conditionalFormatting sqref="B82:E84">
    <cfRule type="expression" dxfId="23" priority="24">
      <formula>$F$79="N/A"</formula>
    </cfRule>
  </conditionalFormatting>
  <conditionalFormatting sqref="C61">
    <cfRule type="expression" dxfId="22" priority="21">
      <formula>C61="n/a"</formula>
    </cfRule>
    <cfRule type="expression" dxfId="21" priority="22">
      <formula>C61="No"</formula>
    </cfRule>
    <cfRule type="expression" dxfId="20" priority="23">
      <formula>C61="Yes"</formula>
    </cfRule>
  </conditionalFormatting>
  <conditionalFormatting sqref="B61">
    <cfRule type="expression" dxfId="19" priority="18">
      <formula>B61="n/a"</formula>
    </cfRule>
    <cfRule type="expression" dxfId="18" priority="19">
      <formula>B61="No"</formula>
    </cfRule>
    <cfRule type="expression" dxfId="17" priority="20">
      <formula>B61="Yes"</formula>
    </cfRule>
  </conditionalFormatting>
  <conditionalFormatting sqref="D61:F61">
    <cfRule type="expression" dxfId="16" priority="15">
      <formula>D61="n/a"</formula>
    </cfRule>
    <cfRule type="expression" dxfId="15" priority="16">
      <formula>D61="No"</formula>
    </cfRule>
    <cfRule type="expression" dxfId="14" priority="17">
      <formula>D61="Yes"</formula>
    </cfRule>
  </conditionalFormatting>
  <conditionalFormatting sqref="B70">
    <cfRule type="expression" dxfId="13" priority="12">
      <formula>B70="n/a"</formula>
    </cfRule>
    <cfRule type="expression" dxfId="12" priority="13">
      <formula>B70="No"</formula>
    </cfRule>
    <cfRule type="expression" dxfId="11" priority="14">
      <formula>B70="Yes"</formula>
    </cfRule>
  </conditionalFormatting>
  <conditionalFormatting sqref="B91">
    <cfRule type="expression" dxfId="10" priority="9">
      <formula>B91="n/a"</formula>
    </cfRule>
    <cfRule type="expression" dxfId="9" priority="10">
      <formula>B91="No"</formula>
    </cfRule>
    <cfRule type="expression" dxfId="8" priority="11">
      <formula>B91="Yes"</formula>
    </cfRule>
  </conditionalFormatting>
  <conditionalFormatting sqref="B104">
    <cfRule type="expression" dxfId="7" priority="6">
      <formula>B104="n/a"</formula>
    </cfRule>
    <cfRule type="expression" dxfId="6" priority="7">
      <formula>B104="No"</formula>
    </cfRule>
    <cfRule type="expression" dxfId="5" priority="8">
      <formula>B104="Yes"</formula>
    </cfRule>
  </conditionalFormatting>
  <conditionalFormatting sqref="B116">
    <cfRule type="expression" dxfId="4" priority="3">
      <formula>B116="n/a"</formula>
    </cfRule>
    <cfRule type="expression" dxfId="3" priority="4">
      <formula>B116="No"</formula>
    </cfRule>
    <cfRule type="expression" dxfId="2" priority="5">
      <formula>B116="Yes"</formula>
    </cfRule>
  </conditionalFormatting>
  <conditionalFormatting sqref="F75">
    <cfRule type="expression" dxfId="1" priority="2">
      <formula>$E$75&gt;=5%</formula>
    </cfRule>
  </conditionalFormatting>
  <conditionalFormatting sqref="F76">
    <cfRule type="expression" dxfId="0" priority="1">
      <formula>$E$76&gt;0</formula>
    </cfRule>
  </conditionalFormatting>
  <dataValidations count="2">
    <dataValidation type="decimal" allowBlank="1" showInputMessage="1" showErrorMessage="1" errorTitle="Invalid Latitude!" error="You've entered a latitude that is not in Vermont." sqref="D5:F5" xr:uid="{08F66CCC-F378-460B-A96B-601E4CF102B4}">
      <formula1>42.72</formula1>
      <formula2>45.02</formula2>
    </dataValidation>
    <dataValidation type="decimal" allowBlank="1" showInputMessage="1" showErrorMessage="1" errorTitle="Invalid Longitude" error="You've entered a longitude outside of Vermont.  Longitude values in VT should always be negative." sqref="D6:F6" xr:uid="{72E71D9A-9955-482C-B53E-9FEC491937C8}">
      <formula1>-73.732</formula1>
      <formula2>-71.46</formula2>
    </dataValidation>
  </dataValidations>
  <hyperlinks>
    <hyperlink ref="E8" r:id="rId1" xr:uid="{C796EC33-99BA-4AAB-B111-7D4DB5F7D87E}"/>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131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131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131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131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131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131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131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132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132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132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132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132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132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132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132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132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132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133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133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133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133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133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133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133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133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1244D0E3-8AFD-4B9D-BFE1-8501B8183388}">
          <x14:formula1>
            <xm:f>Lookup!$G$11:$G$23</xm:f>
          </x14:formula1>
          <xm:sqref>A50:A54 C50:D54</xm:sqref>
        </x14:dataValidation>
        <x14:dataValidation type="list" allowBlank="1" showInputMessage="1" showErrorMessage="1" xr:uid="{4E20BD53-9D43-4C6F-8717-660D8C1892EA}">
          <x14:formula1>
            <xm:f>Lookup!$G$12:$G$23</xm:f>
          </x14:formula1>
          <xm:sqref>A55</xm:sqref>
        </x14:dataValidation>
        <x14:dataValidation type="list" allowBlank="1" showInputMessage="1" showErrorMessage="1" xr:uid="{9580D943-34A4-45FE-8E5C-E2433BAB5400}">
          <x14:formula1>
            <xm:f>Lookup!$H$13:$H$19</xm:f>
          </x14:formula1>
          <xm:sqref>C82:D82 B82:B84</xm:sqref>
        </x14:dataValidation>
        <x14:dataValidation type="list" allowBlank="1" showInputMessage="1" showErrorMessage="1" xr:uid="{5B6DD0D6-0099-4BB1-BF29-1B6B4737DAE6}">
          <x14:formula1>
            <xm:f>Lookup!$J$4:$J$8</xm:f>
          </x14:formula1>
          <xm:sqref>E115:F115</xm:sqref>
        </x14:dataValidation>
        <x14:dataValidation type="list" allowBlank="1" showInputMessage="1" showErrorMessage="1" xr:uid="{9DEDA665-D74D-4AFF-844E-6D0F452EC167}">
          <x14:formula1>
            <xm:f>Lookup!$I$4:$I$8</xm:f>
          </x14:formula1>
          <xm:sqref>E103:F103</xm:sqref>
        </x14:dataValidation>
        <x14:dataValidation type="list" allowBlank="1" showInputMessage="1" showErrorMessage="1" xr:uid="{2B4E6308-1C7B-427C-BD1E-90F897D44D3D}">
          <x14:formula1>
            <xm:f>Lookup!$H$4:$H$7</xm:f>
          </x14:formula1>
          <xm:sqref>E90:F90</xm:sqref>
        </x14:dataValidation>
        <x14:dataValidation type="list" allowBlank="1" showInputMessage="1" showErrorMessage="1" xr:uid="{ACCB9727-CF5C-439B-AAC8-37F64CC10CFC}">
          <x14:formula1>
            <xm:f>Lookup!$G$3:$G$6</xm:f>
          </x14:formula1>
          <xm:sqref>E68:F68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M46"/>
  <sheetViews>
    <sheetView workbookViewId="0">
      <selection activeCell="E17" sqref="E17"/>
    </sheetView>
  </sheetViews>
  <sheetFormatPr defaultRowHeight="14.4" x14ac:dyDescent="0.3"/>
  <cols>
    <col min="1" max="1" width="20.33203125" bestFit="1" customWidth="1"/>
    <col min="7" max="8" width="23.109375" customWidth="1"/>
    <col min="9" max="9" width="32.109375" customWidth="1"/>
    <col min="10" max="10" width="25.21875" bestFit="1" customWidth="1"/>
  </cols>
  <sheetData>
    <row r="1" spans="1:13" ht="15.6" x14ac:dyDescent="0.3">
      <c r="A1" s="12" t="s">
        <v>10</v>
      </c>
      <c r="G1" s="426" t="s">
        <v>45</v>
      </c>
      <c r="H1" s="426"/>
      <c r="I1" s="426"/>
      <c r="J1" s="426"/>
      <c r="L1" t="s">
        <v>188</v>
      </c>
      <c r="M1" t="s">
        <v>189</v>
      </c>
    </row>
    <row r="2" spans="1:13" x14ac:dyDescent="0.3">
      <c r="A2" s="37"/>
      <c r="B2" s="427" t="s">
        <v>1</v>
      </c>
      <c r="C2" s="427"/>
      <c r="D2" s="427"/>
      <c r="E2" s="427"/>
      <c r="G2" s="51" t="s">
        <v>78</v>
      </c>
      <c r="H2" s="37" t="s">
        <v>46</v>
      </c>
      <c r="I2" s="37" t="s">
        <v>47</v>
      </c>
      <c r="J2" s="37" t="s">
        <v>48</v>
      </c>
      <c r="M2" s="19" t="s">
        <v>34</v>
      </c>
    </row>
    <row r="3" spans="1:13" x14ac:dyDescent="0.3">
      <c r="A3" s="38" t="s">
        <v>8</v>
      </c>
      <c r="B3" s="39" t="s">
        <v>2</v>
      </c>
      <c r="C3" s="39" t="s">
        <v>3</v>
      </c>
      <c r="D3" s="39" t="s">
        <v>4</v>
      </c>
      <c r="E3" s="39" t="s">
        <v>5</v>
      </c>
      <c r="G3" s="2"/>
      <c r="H3" s="35"/>
      <c r="I3" s="35"/>
      <c r="J3" s="35"/>
      <c r="L3" s="53" t="s">
        <v>159</v>
      </c>
      <c r="M3" s="53" t="s">
        <v>192</v>
      </c>
    </row>
    <row r="4" spans="1:13" x14ac:dyDescent="0.3">
      <c r="A4" s="4" t="s">
        <v>6</v>
      </c>
      <c r="B4" s="2">
        <v>39</v>
      </c>
      <c r="C4" s="2">
        <v>61</v>
      </c>
      <c r="D4" s="2">
        <v>74</v>
      </c>
      <c r="E4" s="2">
        <v>80</v>
      </c>
      <c r="G4" s="53" t="s">
        <v>159</v>
      </c>
      <c r="H4" s="53" t="s">
        <v>159</v>
      </c>
      <c r="I4" s="53" t="s">
        <v>159</v>
      </c>
      <c r="J4" s="53" t="s">
        <v>159</v>
      </c>
      <c r="L4" s="2" t="s">
        <v>51</v>
      </c>
      <c r="M4" t="s">
        <v>195</v>
      </c>
    </row>
    <row r="5" spans="1:13" x14ac:dyDescent="0.3">
      <c r="A5" s="4" t="s">
        <v>38</v>
      </c>
      <c r="B5" s="2">
        <v>30</v>
      </c>
      <c r="C5" s="2">
        <v>58</v>
      </c>
      <c r="D5" s="2">
        <v>71</v>
      </c>
      <c r="E5" s="2">
        <v>78</v>
      </c>
      <c r="G5" s="52" t="s">
        <v>79</v>
      </c>
      <c r="H5" s="35" t="s">
        <v>101</v>
      </c>
      <c r="I5" s="35" t="s">
        <v>101</v>
      </c>
      <c r="J5" s="2" t="s">
        <v>51</v>
      </c>
      <c r="L5" s="35" t="s">
        <v>101</v>
      </c>
      <c r="M5" s="151" t="s">
        <v>193</v>
      </c>
    </row>
    <row r="6" spans="1:13" x14ac:dyDescent="0.3">
      <c r="A6" s="4" t="s">
        <v>7</v>
      </c>
      <c r="B6" s="2">
        <v>30</v>
      </c>
      <c r="C6" s="2">
        <v>55</v>
      </c>
      <c r="D6" s="2">
        <v>70</v>
      </c>
      <c r="E6" s="2">
        <v>77</v>
      </c>
      <c r="G6" s="52" t="s">
        <v>162</v>
      </c>
      <c r="H6" s="2" t="s">
        <v>49</v>
      </c>
      <c r="I6" s="2" t="s">
        <v>50</v>
      </c>
      <c r="J6" s="35" t="s">
        <v>101</v>
      </c>
      <c r="L6" s="2" t="s">
        <v>116</v>
      </c>
      <c r="M6" s="152" t="s">
        <v>116</v>
      </c>
    </row>
    <row r="7" spans="1:13" x14ac:dyDescent="0.3">
      <c r="A7" s="4" t="s">
        <v>37</v>
      </c>
      <c r="B7" s="2">
        <v>96</v>
      </c>
      <c r="C7" s="2">
        <v>96</v>
      </c>
      <c r="D7" s="2">
        <v>96</v>
      </c>
      <c r="E7" s="2">
        <v>96</v>
      </c>
      <c r="H7" s="36" t="s">
        <v>116</v>
      </c>
      <c r="I7" s="36" t="s">
        <v>161</v>
      </c>
      <c r="J7" s="2" t="s">
        <v>116</v>
      </c>
      <c r="L7" s="53" t="s">
        <v>161</v>
      </c>
      <c r="M7" s="152" t="s">
        <v>194</v>
      </c>
    </row>
    <row r="8" spans="1:13" ht="28.8" x14ac:dyDescent="0.3">
      <c r="A8" s="18" t="s">
        <v>128</v>
      </c>
      <c r="B8" s="2">
        <v>98</v>
      </c>
      <c r="C8" s="2">
        <v>98</v>
      </c>
      <c r="D8" s="2">
        <v>98</v>
      </c>
      <c r="E8" s="2">
        <v>98</v>
      </c>
      <c r="I8" s="36" t="s">
        <v>116</v>
      </c>
      <c r="J8" s="53" t="s">
        <v>161</v>
      </c>
      <c r="L8" s="150" t="s">
        <v>50</v>
      </c>
      <c r="M8" s="153" t="s">
        <v>190</v>
      </c>
    </row>
    <row r="9" spans="1:13" x14ac:dyDescent="0.3">
      <c r="G9" s="426" t="s">
        <v>114</v>
      </c>
      <c r="H9" s="426"/>
      <c r="I9" s="426"/>
      <c r="L9" s="2" t="s">
        <v>49</v>
      </c>
      <c r="M9" s="153" t="s">
        <v>191</v>
      </c>
    </row>
    <row r="10" spans="1:13" ht="28.8" x14ac:dyDescent="0.3">
      <c r="A10" s="10" t="s">
        <v>11</v>
      </c>
      <c r="G10" s="50" t="s">
        <v>64</v>
      </c>
      <c r="H10" s="428" t="s">
        <v>83</v>
      </c>
      <c r="I10" s="429"/>
      <c r="J10" s="51" t="s">
        <v>98</v>
      </c>
    </row>
    <row r="11" spans="1:13" x14ac:dyDescent="0.3">
      <c r="A11" s="37"/>
      <c r="B11" s="427" t="s">
        <v>1</v>
      </c>
      <c r="C11" s="427"/>
      <c r="D11" s="427"/>
      <c r="E11" s="427"/>
      <c r="G11" s="2" t="s">
        <v>208</v>
      </c>
      <c r="H11" s="37" t="s">
        <v>137</v>
      </c>
      <c r="I11" s="37" t="s">
        <v>138</v>
      </c>
      <c r="J11" s="105"/>
    </row>
    <row r="12" spans="1:13" x14ac:dyDescent="0.3">
      <c r="A12" s="38" t="s">
        <v>8</v>
      </c>
      <c r="B12" s="39" t="s">
        <v>2</v>
      </c>
      <c r="C12" s="39" t="s">
        <v>3</v>
      </c>
      <c r="D12" s="39" t="s">
        <v>4</v>
      </c>
      <c r="E12" s="39" t="s">
        <v>5</v>
      </c>
      <c r="G12" s="2" t="s">
        <v>65</v>
      </c>
      <c r="H12" s="2"/>
      <c r="I12" s="2"/>
      <c r="J12" s="106" t="s">
        <v>85</v>
      </c>
    </row>
    <row r="13" spans="1:13" x14ac:dyDescent="0.3">
      <c r="A13" s="4" t="s">
        <v>6</v>
      </c>
      <c r="B13" s="2">
        <f>1000/B4-10</f>
        <v>15.641025641025642</v>
      </c>
      <c r="C13" s="2">
        <f t="shared" ref="C13:E13" si="0">1000/C4-10</f>
        <v>6.3934426229508183</v>
      </c>
      <c r="D13" s="2">
        <f t="shared" si="0"/>
        <v>3.513513513513514</v>
      </c>
      <c r="E13" s="2">
        <f t="shared" si="0"/>
        <v>2.5</v>
      </c>
      <c r="G13" s="44" t="s">
        <v>207</v>
      </c>
      <c r="H13" s="2" t="s">
        <v>213</v>
      </c>
      <c r="I13" s="2" t="s">
        <v>139</v>
      </c>
      <c r="J13" s="106" t="s">
        <v>86</v>
      </c>
    </row>
    <row r="14" spans="1:13" x14ac:dyDescent="0.3">
      <c r="A14" s="4" t="s">
        <v>38</v>
      </c>
      <c r="B14" s="2">
        <f t="shared" ref="B14:E15" si="1">1000/B5-10</f>
        <v>23.333333333333336</v>
      </c>
      <c r="C14" s="2">
        <f t="shared" si="1"/>
        <v>7.2413793103448292</v>
      </c>
      <c r="D14" s="2">
        <f t="shared" si="1"/>
        <v>4.0845070422535219</v>
      </c>
      <c r="E14" s="2">
        <f t="shared" si="1"/>
        <v>2.8205128205128212</v>
      </c>
      <c r="G14" s="2" t="s">
        <v>212</v>
      </c>
      <c r="H14" s="2" t="s">
        <v>84</v>
      </c>
      <c r="I14" s="2" t="s">
        <v>140</v>
      </c>
      <c r="J14" s="106" t="s">
        <v>87</v>
      </c>
    </row>
    <row r="15" spans="1:13" x14ac:dyDescent="0.3">
      <c r="A15" s="4" t="s">
        <v>7</v>
      </c>
      <c r="B15" s="2">
        <f t="shared" si="1"/>
        <v>23.333333333333336</v>
      </c>
      <c r="C15" s="2">
        <f t="shared" ref="C15:E15" si="2">1000/C6-10</f>
        <v>8.1818181818181834</v>
      </c>
      <c r="D15" s="2">
        <f t="shared" si="2"/>
        <v>4.2857142857142865</v>
      </c>
      <c r="E15" s="2">
        <f t="shared" si="2"/>
        <v>2.9870129870129869</v>
      </c>
      <c r="G15" s="2" t="s">
        <v>66</v>
      </c>
      <c r="H15" s="2" t="s">
        <v>89</v>
      </c>
      <c r="I15" s="2" t="s">
        <v>140</v>
      </c>
      <c r="J15" s="106" t="s">
        <v>99</v>
      </c>
    </row>
    <row r="16" spans="1:13" x14ac:dyDescent="0.3">
      <c r="A16" s="4" t="s">
        <v>37</v>
      </c>
      <c r="B16" s="2">
        <f>1000/B7-10</f>
        <v>0.41666666666666607</v>
      </c>
      <c r="C16" s="2">
        <f t="shared" ref="C16:E16" si="3">1000/C7-10</f>
        <v>0.41666666666666607</v>
      </c>
      <c r="D16" s="2">
        <f t="shared" si="3"/>
        <v>0.41666666666666607</v>
      </c>
      <c r="E16" s="2">
        <f t="shared" si="3"/>
        <v>0.41666666666666607</v>
      </c>
      <c r="G16" s="2" t="s">
        <v>27</v>
      </c>
      <c r="H16" s="2" t="s">
        <v>85</v>
      </c>
      <c r="I16" s="2" t="s">
        <v>140</v>
      </c>
      <c r="J16" s="106" t="s">
        <v>100</v>
      </c>
    </row>
    <row r="17" spans="1:9" ht="43.2" x14ac:dyDescent="0.3">
      <c r="A17" s="18" t="s">
        <v>63</v>
      </c>
      <c r="B17" s="2">
        <f>1000/B8-10</f>
        <v>0.20408163265306101</v>
      </c>
      <c r="C17" s="2">
        <f t="shared" ref="C17:E17" si="4">1000/C8-10</f>
        <v>0.20408163265306101</v>
      </c>
      <c r="D17" s="2">
        <f t="shared" si="4"/>
        <v>0.20408163265306101</v>
      </c>
      <c r="E17" s="2">
        <f t="shared" si="4"/>
        <v>0.20408163265306101</v>
      </c>
      <c r="G17" s="2" t="s">
        <v>69</v>
      </c>
      <c r="H17" s="2" t="s">
        <v>86</v>
      </c>
      <c r="I17" s="2" t="s">
        <v>140</v>
      </c>
    </row>
    <row r="18" spans="1:9" x14ac:dyDescent="0.3">
      <c r="G18" s="2" t="s">
        <v>26</v>
      </c>
      <c r="H18" s="2" t="s">
        <v>87</v>
      </c>
      <c r="I18" s="2" t="s">
        <v>139</v>
      </c>
    </row>
    <row r="19" spans="1:9" ht="15.6" x14ac:dyDescent="0.3">
      <c r="A19" s="10" t="s">
        <v>12</v>
      </c>
      <c r="G19" s="2" t="s">
        <v>67</v>
      </c>
      <c r="H19" s="36" t="s">
        <v>88</v>
      </c>
      <c r="I19" s="2" t="s">
        <v>141</v>
      </c>
    </row>
    <row r="20" spans="1:9" x14ac:dyDescent="0.3">
      <c r="A20" s="40" t="s">
        <v>1</v>
      </c>
      <c r="B20" s="39" t="s">
        <v>2</v>
      </c>
      <c r="C20" s="39" t="s">
        <v>3</v>
      </c>
      <c r="D20" s="39" t="s">
        <v>4</v>
      </c>
      <c r="E20" s="39" t="s">
        <v>5</v>
      </c>
      <c r="G20" s="2" t="s">
        <v>68</v>
      </c>
    </row>
    <row r="21" spans="1:9" x14ac:dyDescent="0.3">
      <c r="A21" s="5" t="s">
        <v>28</v>
      </c>
      <c r="B21" s="2">
        <v>0.6</v>
      </c>
      <c r="C21" s="2">
        <v>0.35</v>
      </c>
      <c r="D21" s="2">
        <v>0.25</v>
      </c>
      <c r="E21" s="2">
        <v>0</v>
      </c>
      <c r="G21" s="2" t="s">
        <v>25</v>
      </c>
    </row>
    <row r="22" spans="1:9" x14ac:dyDescent="0.3">
      <c r="G22" s="2" t="s">
        <v>70</v>
      </c>
    </row>
    <row r="23" spans="1:9" x14ac:dyDescent="0.3">
      <c r="G23" s="35" t="s">
        <v>35</v>
      </c>
    </row>
    <row r="24" spans="1:9" x14ac:dyDescent="0.3">
      <c r="G24" s="37" t="s">
        <v>115</v>
      </c>
      <c r="H24" s="37" t="s">
        <v>163</v>
      </c>
    </row>
    <row r="25" spans="1:9" x14ac:dyDescent="0.3">
      <c r="G25" s="2"/>
      <c r="H25" s="2" t="s">
        <v>164</v>
      </c>
    </row>
    <row r="26" spans="1:9" x14ac:dyDescent="0.3">
      <c r="G26" s="2" t="s">
        <v>122</v>
      </c>
      <c r="H26" s="2" t="s">
        <v>165</v>
      </c>
    </row>
    <row r="27" spans="1:9" x14ac:dyDescent="0.3">
      <c r="G27" s="2" t="s">
        <v>116</v>
      </c>
    </row>
    <row r="36" spans="1:4" ht="15.6" x14ac:dyDescent="0.3">
      <c r="A36" s="10" t="s">
        <v>20</v>
      </c>
    </row>
    <row r="37" spans="1:4" x14ac:dyDescent="0.3">
      <c r="A37" s="6"/>
      <c r="B37" s="396" t="s">
        <v>14</v>
      </c>
      <c r="C37" s="396"/>
    </row>
    <row r="38" spans="1:4" x14ac:dyDescent="0.3">
      <c r="A38" s="3" t="s">
        <v>15</v>
      </c>
      <c r="B38" s="3" t="s">
        <v>16</v>
      </c>
      <c r="C38" s="3" t="s">
        <v>17</v>
      </c>
    </row>
    <row r="39" spans="1:4" x14ac:dyDescent="0.3">
      <c r="A39" s="3" t="s">
        <v>18</v>
      </c>
      <c r="B39" s="3">
        <v>35</v>
      </c>
      <c r="C39" s="3">
        <v>50</v>
      </c>
    </row>
    <row r="40" spans="1:4" x14ac:dyDescent="0.3">
      <c r="A40" s="3" t="s">
        <v>19</v>
      </c>
      <c r="B40" s="3">
        <v>65</v>
      </c>
      <c r="C40" s="3">
        <v>85</v>
      </c>
    </row>
    <row r="41" spans="1:4" x14ac:dyDescent="0.3">
      <c r="A41" s="7"/>
      <c r="B41" s="7"/>
      <c r="C41" s="7"/>
    </row>
    <row r="42" spans="1:4" ht="15.6" x14ac:dyDescent="0.3">
      <c r="A42" s="11" t="s">
        <v>21</v>
      </c>
      <c r="B42" s="7"/>
      <c r="C42" s="7"/>
    </row>
    <row r="43" spans="1:4" x14ac:dyDescent="0.3">
      <c r="A43" s="8"/>
      <c r="B43" s="396" t="s">
        <v>14</v>
      </c>
      <c r="C43" s="396"/>
      <c r="D43" s="396"/>
    </row>
    <row r="44" spans="1:4" x14ac:dyDescent="0.3">
      <c r="A44" s="9" t="s">
        <v>15</v>
      </c>
      <c r="B44" s="3" t="s">
        <v>22</v>
      </c>
      <c r="C44" s="3" t="s">
        <v>23</v>
      </c>
      <c r="D44" s="3" t="s">
        <v>24</v>
      </c>
    </row>
    <row r="45" spans="1:4" x14ac:dyDescent="0.3">
      <c r="A45" s="3" t="s">
        <v>18</v>
      </c>
      <c r="B45" s="3">
        <v>35</v>
      </c>
      <c r="C45" s="3">
        <v>50</v>
      </c>
      <c r="D45" s="3">
        <v>65</v>
      </c>
    </row>
    <row r="46" spans="1:4" x14ac:dyDescent="0.3">
      <c r="A46" s="3" t="s">
        <v>19</v>
      </c>
      <c r="B46" s="3">
        <v>65</v>
      </c>
      <c r="C46" s="3">
        <v>85</v>
      </c>
      <c r="D46" s="3">
        <v>105</v>
      </c>
    </row>
  </sheetData>
  <sheetProtection algorithmName="SHA-512" hashValue="/qXECI+0Mp3mDl2Vpaoc9H3HLTKjwmuCwXTt2jbajqRdLzxz9QbSS8UO/WDOu+l3IlSrTjlnPsw4Swu0iyCpMg==" saltValue="4BPsJ1qGW5j7mjJoO55A2g==" spinCount="100000" sheet="1" objects="1" scenarios="1"/>
  <mergeCells count="7">
    <mergeCell ref="G1:J1"/>
    <mergeCell ref="B2:E2"/>
    <mergeCell ref="B11:E11"/>
    <mergeCell ref="B37:C37"/>
    <mergeCell ref="B43:D43"/>
    <mergeCell ref="G9:I9"/>
    <mergeCell ref="H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85"/>
  <sheetViews>
    <sheetView tabSelected="1" view="pageLayout" zoomScaleNormal="100" workbookViewId="0">
      <selection activeCell="D38" sqref="D38"/>
    </sheetView>
  </sheetViews>
  <sheetFormatPr defaultRowHeight="14.4" x14ac:dyDescent="0.3"/>
  <cols>
    <col min="1" max="1" width="3.33203125" customWidth="1"/>
    <col min="2" max="2" width="11.6640625" customWidth="1"/>
    <col min="3" max="3" width="7.33203125" style="135" customWidth="1"/>
    <col min="4" max="11" width="8" customWidth="1"/>
    <col min="12" max="12" width="8" style="114" customWidth="1"/>
    <col min="13" max="14" width="6.88671875" customWidth="1"/>
    <col min="15" max="15" width="8.6640625" customWidth="1"/>
    <col min="16" max="23" width="6.88671875" customWidth="1"/>
  </cols>
  <sheetData>
    <row r="1" spans="1:16" s="121" customFormat="1" ht="16.2" customHeight="1" x14ac:dyDescent="0.3">
      <c r="A1" s="324" t="s">
        <v>176</v>
      </c>
      <c r="B1" s="324"/>
      <c r="C1" s="328" t="s">
        <v>254</v>
      </c>
      <c r="D1" s="329"/>
      <c r="E1" s="329"/>
      <c r="F1" s="329"/>
      <c r="G1" s="330"/>
    </row>
    <row r="2" spans="1:16" s="121" customFormat="1" ht="15" customHeight="1" thickBot="1" x14ac:dyDescent="0.35">
      <c r="C2" s="170" t="s">
        <v>201</v>
      </c>
    </row>
    <row r="3" spans="1:16" s="107" customFormat="1" ht="17.399999999999999" customHeight="1" x14ac:dyDescent="0.3">
      <c r="A3" s="56" t="s">
        <v>152</v>
      </c>
      <c r="B3" s="57"/>
      <c r="C3" s="57"/>
      <c r="D3" s="57"/>
      <c r="E3" s="57"/>
      <c r="F3" s="57"/>
      <c r="G3" s="57"/>
      <c r="H3" s="57"/>
      <c r="I3" s="57"/>
      <c r="J3" s="57"/>
      <c r="K3" s="57"/>
      <c r="L3" s="58"/>
      <c r="N3" s="276"/>
      <c r="O3" s="276"/>
      <c r="P3" s="276"/>
    </row>
    <row r="4" spans="1:16" ht="43.8" customHeight="1" thickBot="1" x14ac:dyDescent="0.35">
      <c r="A4" s="325" t="s">
        <v>230</v>
      </c>
      <c r="B4" s="326"/>
      <c r="C4" s="326"/>
      <c r="D4" s="326"/>
      <c r="E4" s="326"/>
      <c r="F4" s="326"/>
      <c r="G4" s="326"/>
      <c r="H4" s="326"/>
      <c r="I4" s="326"/>
      <c r="J4" s="326"/>
      <c r="K4" s="326"/>
      <c r="L4" s="327"/>
      <c r="P4" s="276"/>
    </row>
    <row r="5" spans="1:16" ht="15" customHeight="1" x14ac:dyDescent="0.3">
      <c r="A5" s="156"/>
      <c r="B5" s="109"/>
      <c r="C5" s="138" t="s">
        <v>13</v>
      </c>
      <c r="D5" s="228" t="s">
        <v>124</v>
      </c>
      <c r="E5" s="228" t="s">
        <v>125</v>
      </c>
      <c r="F5" s="228" t="s">
        <v>126</v>
      </c>
      <c r="G5" s="228" t="s">
        <v>127</v>
      </c>
      <c r="H5" s="228" t="s">
        <v>154</v>
      </c>
      <c r="I5" s="228" t="s">
        <v>155</v>
      </c>
      <c r="J5" s="228" t="s">
        <v>156</v>
      </c>
      <c r="K5" s="228" t="s">
        <v>157</v>
      </c>
      <c r="L5" s="229" t="s">
        <v>158</v>
      </c>
      <c r="O5" s="180"/>
      <c r="P5" s="276"/>
    </row>
    <row r="6" spans="1:16" ht="15" customHeight="1" x14ac:dyDescent="0.3">
      <c r="A6" s="323" t="s">
        <v>133</v>
      </c>
      <c r="B6" s="137" t="s">
        <v>132</v>
      </c>
      <c r="C6" s="139">
        <f t="shared" ref="C6:C11" ca="1" si="0">SUM(D6:L6)</f>
        <v>3.3899999999999997</v>
      </c>
      <c r="D6" s="142">
        <f ca="1">IFERROR(IF(INDIRECT(D$5&amp;"!F27")&lt;0.01,ROUNDUP(INDIRECT(D$5&amp;"!F27"),2),INDIRECT(D$5&amp;"!F27")),0)</f>
        <v>1.1499999999999999</v>
      </c>
      <c r="E6" s="142">
        <f t="shared" ref="E6:L6" ca="1" si="1">IFERROR(IF(INDIRECT(E$5&amp;"!F27")&lt;0.01,ROUNDUP(INDIRECT(E$5&amp;"!F27"),2),INDIRECT(E$5&amp;"!F27")),0)</f>
        <v>0.24</v>
      </c>
      <c r="F6" s="142">
        <f t="shared" ca="1" si="1"/>
        <v>2</v>
      </c>
      <c r="G6" s="142">
        <f t="shared" ca="1" si="1"/>
        <v>0</v>
      </c>
      <c r="H6" s="142">
        <f t="shared" ca="1" si="1"/>
        <v>0</v>
      </c>
      <c r="I6" s="142">
        <f t="shared" ca="1" si="1"/>
        <v>0</v>
      </c>
      <c r="J6" s="142">
        <f t="shared" ca="1" si="1"/>
        <v>0</v>
      </c>
      <c r="K6" s="142">
        <f t="shared" ca="1" si="1"/>
        <v>0</v>
      </c>
      <c r="L6" s="158">
        <f t="shared" ca="1" si="1"/>
        <v>0</v>
      </c>
      <c r="O6" s="180"/>
      <c r="P6" s="276"/>
    </row>
    <row r="7" spans="1:16" ht="15" customHeight="1" x14ac:dyDescent="0.3">
      <c r="A7" s="323"/>
      <c r="B7" s="137" t="s">
        <v>131</v>
      </c>
      <c r="C7" s="139">
        <f t="shared" ca="1" si="0"/>
        <v>0</v>
      </c>
      <c r="D7" s="142">
        <f ca="1">IFERROR(IF(INDIRECT(D$5&amp;"!F30")&lt;0.01,ROUNDUP(INDIRECT(D$5&amp;"!F30"),2),INDIRECT(D$5&amp;"!F30")),0)</f>
        <v>0</v>
      </c>
      <c r="E7" s="142">
        <f t="shared" ref="E7:L7" ca="1" si="2">IFERROR(IF(INDIRECT(E$5&amp;"!F30")&lt;0.01,ROUNDUP(INDIRECT(E$5&amp;"!F30"),2),INDIRECT(E$5&amp;"!F30")),0)</f>
        <v>0</v>
      </c>
      <c r="F7" s="142">
        <f t="shared" ca="1" si="2"/>
        <v>0</v>
      </c>
      <c r="G7" s="142">
        <f t="shared" ca="1" si="2"/>
        <v>0</v>
      </c>
      <c r="H7" s="142">
        <f t="shared" ca="1" si="2"/>
        <v>0</v>
      </c>
      <c r="I7" s="142">
        <f t="shared" ca="1" si="2"/>
        <v>0</v>
      </c>
      <c r="J7" s="142">
        <f t="shared" ca="1" si="2"/>
        <v>0</v>
      </c>
      <c r="K7" s="142">
        <f t="shared" ca="1" si="2"/>
        <v>0</v>
      </c>
      <c r="L7" s="158">
        <f t="shared" ca="1" si="2"/>
        <v>0</v>
      </c>
    </row>
    <row r="8" spans="1:16" x14ac:dyDescent="0.3">
      <c r="A8" s="323"/>
      <c r="B8" s="274" t="s">
        <v>130</v>
      </c>
      <c r="C8" s="139">
        <f t="shared" ca="1" si="0"/>
        <v>0</v>
      </c>
      <c r="D8" s="142">
        <f ca="1">IFERROR(IF(INDIRECT(D$5&amp;"!F28")&lt;0.01,ROUNDUP(INDIRECT(D$5&amp;"!F28"),2),INDIRECT(D$5&amp;"!F28")),0)</f>
        <v>0</v>
      </c>
      <c r="E8" s="142">
        <f t="shared" ref="E8:L8" ca="1" si="3">IFERROR(IF(INDIRECT(E$5&amp;"!F28")&lt;0.01,ROUNDUP(INDIRECT(E$5&amp;"!F28"),2),INDIRECT(E$5&amp;"!F28")),0)</f>
        <v>0</v>
      </c>
      <c r="F8" s="142">
        <f t="shared" ca="1" si="3"/>
        <v>0</v>
      </c>
      <c r="G8" s="142">
        <f t="shared" ca="1" si="3"/>
        <v>0</v>
      </c>
      <c r="H8" s="142">
        <f t="shared" ca="1" si="3"/>
        <v>0</v>
      </c>
      <c r="I8" s="142">
        <f t="shared" ca="1" si="3"/>
        <v>0</v>
      </c>
      <c r="J8" s="142">
        <f t="shared" ca="1" si="3"/>
        <v>0</v>
      </c>
      <c r="K8" s="142">
        <f t="shared" ca="1" si="3"/>
        <v>0</v>
      </c>
      <c r="L8" s="158">
        <f t="shared" ca="1" si="3"/>
        <v>0</v>
      </c>
    </row>
    <row r="9" spans="1:16" ht="28.8" customHeight="1" x14ac:dyDescent="0.3">
      <c r="A9" s="323"/>
      <c r="B9" s="137" t="s">
        <v>252</v>
      </c>
      <c r="C9" s="139">
        <f t="shared" ca="1" si="0"/>
        <v>0</v>
      </c>
      <c r="D9" s="142">
        <f ca="1">IFERROR(IF(INDIRECT(D$5&amp;"!F31")&lt;0.01,ROUNDUP(INDIRECT(D$5&amp;"!F31"),2),INDIRECT(D$5&amp;"!F31")),0)</f>
        <v>0</v>
      </c>
      <c r="E9" s="142">
        <f t="shared" ref="E9:L9" ca="1" si="4">IFERROR(IF(INDIRECT(E$5&amp;"!F31")&lt;0.01,ROUNDUP(INDIRECT(E$5&amp;"!F31"),2),INDIRECT(E$5&amp;"!F31")),0)</f>
        <v>0</v>
      </c>
      <c r="F9" s="142">
        <f t="shared" ca="1" si="4"/>
        <v>0</v>
      </c>
      <c r="G9" s="142">
        <f t="shared" ca="1" si="4"/>
        <v>0</v>
      </c>
      <c r="H9" s="142">
        <f t="shared" ca="1" si="4"/>
        <v>0</v>
      </c>
      <c r="I9" s="142">
        <f t="shared" ca="1" si="4"/>
        <v>0</v>
      </c>
      <c r="J9" s="142">
        <f t="shared" ca="1" si="4"/>
        <v>0</v>
      </c>
      <c r="K9" s="142">
        <f t="shared" ca="1" si="4"/>
        <v>0</v>
      </c>
      <c r="L9" s="158">
        <f t="shared" ca="1" si="4"/>
        <v>0</v>
      </c>
    </row>
    <row r="10" spans="1:16" ht="15" customHeight="1" x14ac:dyDescent="0.3">
      <c r="A10" s="323"/>
      <c r="B10" s="137" t="s">
        <v>13</v>
      </c>
      <c r="C10" s="139">
        <f t="shared" ca="1" si="0"/>
        <v>3.3899999999999997</v>
      </c>
      <c r="D10" s="142">
        <f ca="1">SUM(D6:D9)</f>
        <v>1.1499999999999999</v>
      </c>
      <c r="E10" s="142">
        <f t="shared" ref="E10:L10" ca="1" si="5">SUM(E6:E9)</f>
        <v>0.24</v>
      </c>
      <c r="F10" s="142">
        <f t="shared" ca="1" si="5"/>
        <v>2</v>
      </c>
      <c r="G10" s="142">
        <f t="shared" ca="1" si="5"/>
        <v>0</v>
      </c>
      <c r="H10" s="142">
        <f t="shared" ca="1" si="5"/>
        <v>0</v>
      </c>
      <c r="I10" s="142">
        <f t="shared" ca="1" si="5"/>
        <v>0</v>
      </c>
      <c r="J10" s="142">
        <f t="shared" ca="1" si="5"/>
        <v>0</v>
      </c>
      <c r="K10" s="142">
        <f t="shared" ca="1" si="5"/>
        <v>0</v>
      </c>
      <c r="L10" s="158">
        <f t="shared" ca="1" si="5"/>
        <v>0</v>
      </c>
    </row>
    <row r="11" spans="1:16" ht="15" customHeight="1" thickBot="1" x14ac:dyDescent="0.35">
      <c r="A11" s="200"/>
      <c r="B11" s="199" t="s">
        <v>134</v>
      </c>
      <c r="C11" s="140">
        <f t="shared" ca="1" si="0"/>
        <v>18.18</v>
      </c>
      <c r="D11" s="142">
        <f ca="1">IFERROR(IF(INDIRECT(D$5&amp;"!F32")&lt;0.01,ROUNDUP(INDIRECT(D$5&amp;"!F32"),2),INDIRECT(D$5&amp;"!F32")),0)</f>
        <v>6.3599999999999994</v>
      </c>
      <c r="E11" s="142">
        <f t="shared" ref="E11:L11" ca="1" si="6">IFERROR(IF(INDIRECT(E$5&amp;"!F32")&lt;0.01,ROUNDUP(INDIRECT(E$5&amp;"!F32"),2),INDIRECT(E$5&amp;"!F32")),0)</f>
        <v>1.68</v>
      </c>
      <c r="F11" s="142">
        <f t="shared" ca="1" si="6"/>
        <v>10.14</v>
      </c>
      <c r="G11" s="142">
        <f t="shared" ca="1" si="6"/>
        <v>0</v>
      </c>
      <c r="H11" s="142">
        <f t="shared" ca="1" si="6"/>
        <v>0</v>
      </c>
      <c r="I11" s="142">
        <f t="shared" ca="1" si="6"/>
        <v>0</v>
      </c>
      <c r="J11" s="142">
        <f t="shared" ca="1" si="6"/>
        <v>0</v>
      </c>
      <c r="K11" s="142">
        <f t="shared" ca="1" si="6"/>
        <v>0</v>
      </c>
      <c r="L11" s="158">
        <f t="shared" ca="1" si="6"/>
        <v>0</v>
      </c>
    </row>
    <row r="12" spans="1:16" s="180" customFormat="1" ht="15" customHeight="1" x14ac:dyDescent="0.3">
      <c r="A12" s="201"/>
      <c r="B12" s="331" t="s">
        <v>231</v>
      </c>
      <c r="C12" s="332"/>
      <c r="D12" s="202">
        <f ca="1">IFERROR(INDIRECT(D$5&amp;"!D5"),0)</f>
        <v>43.000010000000003</v>
      </c>
      <c r="E12" s="202">
        <f t="shared" ref="E12:L12" ca="1" si="7">IFERROR(INDIRECT(E$5&amp;"!D5"),0)</f>
        <v>44.000019999999999</v>
      </c>
      <c r="F12" s="202">
        <f t="shared" ca="1" si="7"/>
        <v>44.000030000000002</v>
      </c>
      <c r="G12" s="202">
        <f t="shared" ca="1" si="7"/>
        <v>0</v>
      </c>
      <c r="H12" s="202">
        <f t="shared" ca="1" si="7"/>
        <v>0</v>
      </c>
      <c r="I12" s="202">
        <f t="shared" ca="1" si="7"/>
        <v>0</v>
      </c>
      <c r="J12" s="202">
        <f t="shared" ca="1" si="7"/>
        <v>0</v>
      </c>
      <c r="K12" s="202">
        <f t="shared" ca="1" si="7"/>
        <v>0</v>
      </c>
      <c r="L12" s="203">
        <f t="shared" ca="1" si="7"/>
        <v>0</v>
      </c>
    </row>
    <row r="13" spans="1:16" s="180" customFormat="1" ht="15" customHeight="1" x14ac:dyDescent="0.3">
      <c r="A13" s="201"/>
      <c r="B13" s="333" t="s">
        <v>232</v>
      </c>
      <c r="C13" s="333"/>
      <c r="D13" s="198">
        <f ca="1">IFERROR(INDIRECT(D$5&amp;"!D6"),0)</f>
        <v>-73.000010000000003</v>
      </c>
      <c r="E13" s="198">
        <f t="shared" ref="E13:L13" ca="1" si="8">IFERROR(INDIRECT(E$5&amp;"!D6"),0)</f>
        <v>-73.000020000000006</v>
      </c>
      <c r="F13" s="198">
        <f t="shared" ca="1" si="8"/>
        <v>-73.000029999999995</v>
      </c>
      <c r="G13" s="198">
        <f t="shared" ca="1" si="8"/>
        <v>0</v>
      </c>
      <c r="H13" s="198">
        <f t="shared" ca="1" si="8"/>
        <v>0</v>
      </c>
      <c r="I13" s="198">
        <f t="shared" ca="1" si="8"/>
        <v>0</v>
      </c>
      <c r="J13" s="198">
        <f t="shared" ca="1" si="8"/>
        <v>0</v>
      </c>
      <c r="K13" s="198">
        <f t="shared" ca="1" si="8"/>
        <v>0</v>
      </c>
      <c r="L13" s="204">
        <f t="shared" ca="1" si="8"/>
        <v>0</v>
      </c>
    </row>
    <row r="14" spans="1:16" ht="70.2" customHeight="1" x14ac:dyDescent="0.3">
      <c r="A14" s="14"/>
      <c r="B14" s="275"/>
      <c r="C14" s="275" t="s">
        <v>253</v>
      </c>
      <c r="D14" s="285" t="str">
        <f ca="1">IFERROR(INDIRECT(D5&amp;"!D4"),"")</f>
        <v>Wetland Tributary to the Winooski River</v>
      </c>
      <c r="E14" s="285" t="str">
        <f t="shared" ref="E14:L14" ca="1" si="9">IFERROR(INDIRECT(E5&amp;"!D4"),"")</f>
        <v>Wetland Tributary to the Winooski River</v>
      </c>
      <c r="F14" s="285" t="str">
        <f t="shared" ca="1" si="9"/>
        <v>Wetland Tributary to the Winooski River</v>
      </c>
      <c r="G14" s="285">
        <f t="shared" ca="1" si="9"/>
        <v>0</v>
      </c>
      <c r="H14" s="285">
        <f t="shared" ca="1" si="9"/>
        <v>0</v>
      </c>
      <c r="I14" s="285">
        <f t="shared" ca="1" si="9"/>
        <v>0</v>
      </c>
      <c r="J14" s="285">
        <f t="shared" ca="1" si="9"/>
        <v>0</v>
      </c>
      <c r="K14" s="285">
        <f t="shared" ca="1" si="9"/>
        <v>0</v>
      </c>
      <c r="L14" s="286">
        <f t="shared" ca="1" si="9"/>
        <v>0</v>
      </c>
    </row>
    <row r="15" spans="1:16" s="180" customFormat="1" ht="4.2" customHeight="1" thickBot="1" x14ac:dyDescent="0.35">
      <c r="A15" s="14"/>
      <c r="B15" s="244"/>
      <c r="C15" s="244"/>
      <c r="D15" s="285"/>
      <c r="E15" s="17"/>
      <c r="F15" s="17"/>
      <c r="G15" s="17"/>
      <c r="H15" s="17"/>
      <c r="I15" s="17"/>
      <c r="J15" s="17"/>
      <c r="K15" s="17"/>
      <c r="L15" s="70"/>
    </row>
    <row r="16" spans="1:16" ht="17.399999999999999" customHeight="1" thickBot="1" x14ac:dyDescent="0.35">
      <c r="A16" s="56" t="s">
        <v>135</v>
      </c>
      <c r="B16" s="57"/>
      <c r="C16" s="57"/>
      <c r="D16" s="57"/>
      <c r="E16" s="57"/>
      <c r="F16" s="57"/>
      <c r="G16" s="57"/>
      <c r="H16" s="57"/>
      <c r="I16" s="57"/>
      <c r="J16" s="57"/>
      <c r="K16" s="57"/>
      <c r="L16" s="58"/>
    </row>
    <row r="17" spans="1:12" x14ac:dyDescent="0.3">
      <c r="A17" s="14"/>
      <c r="B17" s="13"/>
      <c r="C17" s="138" t="s">
        <v>13</v>
      </c>
      <c r="D17" s="143" t="str">
        <f>D5</f>
        <v>SN1</v>
      </c>
      <c r="E17" s="147" t="str">
        <f t="shared" ref="E17:L17" si="10">E5</f>
        <v>SN2</v>
      </c>
      <c r="F17" s="147" t="str">
        <f t="shared" si="10"/>
        <v>SN3</v>
      </c>
      <c r="G17" s="147" t="str">
        <f t="shared" si="10"/>
        <v>SN4</v>
      </c>
      <c r="H17" s="147" t="str">
        <f t="shared" si="10"/>
        <v>SN5</v>
      </c>
      <c r="I17" s="147" t="str">
        <f t="shared" si="10"/>
        <v>SN6</v>
      </c>
      <c r="J17" s="147" t="str">
        <f t="shared" si="10"/>
        <v>SN7</v>
      </c>
      <c r="K17" s="147" t="str">
        <f t="shared" si="10"/>
        <v>SN8</v>
      </c>
      <c r="L17" s="157" t="str">
        <f t="shared" si="10"/>
        <v>SN9</v>
      </c>
    </row>
    <row r="18" spans="1:12" x14ac:dyDescent="0.3">
      <c r="A18" s="14"/>
      <c r="B18" s="20" t="s">
        <v>143</v>
      </c>
      <c r="C18" s="277">
        <f ca="1">SUM(D18:L18)</f>
        <v>3.4999999999999996E-2</v>
      </c>
      <c r="D18" s="278">
        <f ca="1">IFERROR(INDIRECT(D$17&amp;"!B58"),0)</f>
        <v>0</v>
      </c>
      <c r="E18" s="279">
        <f t="shared" ref="E18:L18" ca="1" si="11">IFERROR(INDIRECT(E$17&amp;"!B58"),0)</f>
        <v>0</v>
      </c>
      <c r="F18" s="279">
        <f t="shared" ca="1" si="11"/>
        <v>3.4999999999999996E-2</v>
      </c>
      <c r="G18" s="279">
        <f t="shared" ca="1" si="11"/>
        <v>0</v>
      </c>
      <c r="H18" s="279">
        <f t="shared" ca="1" si="11"/>
        <v>0</v>
      </c>
      <c r="I18" s="279">
        <f t="shared" ca="1" si="11"/>
        <v>0</v>
      </c>
      <c r="J18" s="279">
        <f t="shared" ca="1" si="11"/>
        <v>0</v>
      </c>
      <c r="K18" s="279">
        <f t="shared" ca="1" si="11"/>
        <v>0</v>
      </c>
      <c r="L18" s="280">
        <f t="shared" ca="1" si="11"/>
        <v>0</v>
      </c>
    </row>
    <row r="19" spans="1:12" x14ac:dyDescent="0.3">
      <c r="A19" s="14"/>
      <c r="B19" s="20" t="s">
        <v>144</v>
      </c>
      <c r="C19" s="277">
        <f ca="1">SUM(D19:L19)</f>
        <v>0.42720000000000002</v>
      </c>
      <c r="D19" s="278">
        <f ca="1">IFERROR(INDIRECT(D$17&amp;"!B59"),0)</f>
        <v>0.20799999999999999</v>
      </c>
      <c r="E19" s="279">
        <f t="shared" ref="E19:L19" ca="1" si="12">IFERROR(INDIRECT(E$17&amp;"!B59"),0)</f>
        <v>2.5000000000000001E-2</v>
      </c>
      <c r="F19" s="279">
        <f t="shared" ca="1" si="12"/>
        <v>0.19420000000000001</v>
      </c>
      <c r="G19" s="279">
        <f t="shared" ca="1" si="12"/>
        <v>0</v>
      </c>
      <c r="H19" s="279">
        <f t="shared" ca="1" si="12"/>
        <v>0</v>
      </c>
      <c r="I19" s="279">
        <f t="shared" ca="1" si="12"/>
        <v>0</v>
      </c>
      <c r="J19" s="279">
        <f t="shared" ca="1" si="12"/>
        <v>0</v>
      </c>
      <c r="K19" s="279">
        <f t="shared" ca="1" si="12"/>
        <v>0</v>
      </c>
      <c r="L19" s="280">
        <f t="shared" ca="1" si="12"/>
        <v>0</v>
      </c>
    </row>
    <row r="20" spans="1:12" ht="15" thickBot="1" x14ac:dyDescent="0.35">
      <c r="A20" s="14"/>
      <c r="B20" s="244" t="s">
        <v>142</v>
      </c>
      <c r="C20" s="141" t="str">
        <f ca="1">IF(C19&gt;=C18,"Yes","No")</f>
        <v>Yes</v>
      </c>
      <c r="D20" s="144" t="str">
        <f ca="1">IF(D18=0,"n/a",INDIRECT(D$5&amp;"!B61"))</f>
        <v>n/a</v>
      </c>
      <c r="E20" s="146" t="str">
        <f t="shared" ref="E20:L20" ca="1" si="13">IF(E18=0,"n/a",INDIRECT(E$5&amp;"!B61"))</f>
        <v>n/a</v>
      </c>
      <c r="F20" s="146" t="str">
        <f t="shared" ca="1" si="13"/>
        <v>Yes</v>
      </c>
      <c r="G20" s="146" t="str">
        <f t="shared" ca="1" si="13"/>
        <v>n/a</v>
      </c>
      <c r="H20" s="146" t="str">
        <f t="shared" ca="1" si="13"/>
        <v>n/a</v>
      </c>
      <c r="I20" s="146" t="str">
        <f t="shared" ca="1" si="13"/>
        <v>n/a</v>
      </c>
      <c r="J20" s="146" t="str">
        <f t="shared" ca="1" si="13"/>
        <v>n/a</v>
      </c>
      <c r="K20" s="146" t="str">
        <f t="shared" ca="1" si="13"/>
        <v>n/a</v>
      </c>
      <c r="L20" s="159" t="str">
        <f t="shared" ca="1" si="13"/>
        <v>n/a</v>
      </c>
    </row>
    <row r="21" spans="1:12" s="148" customFormat="1" ht="7.8" customHeight="1" x14ac:dyDescent="0.3">
      <c r="A21" s="14"/>
      <c r="B21" s="244"/>
      <c r="C21" s="154"/>
      <c r="D21" s="146"/>
      <c r="E21" s="146"/>
      <c r="F21" s="146"/>
      <c r="G21" s="146"/>
      <c r="H21" s="146"/>
      <c r="I21" s="146"/>
      <c r="J21" s="146"/>
      <c r="K21" s="146"/>
      <c r="L21" s="159"/>
    </row>
    <row r="22" spans="1:12" ht="65.400000000000006" customHeight="1" x14ac:dyDescent="0.3">
      <c r="A22" s="14"/>
      <c r="B22" s="160" t="s">
        <v>200</v>
      </c>
      <c r="C22" s="319"/>
      <c r="D22" s="320"/>
      <c r="E22" s="320"/>
      <c r="F22" s="320"/>
      <c r="G22" s="320"/>
      <c r="H22" s="320"/>
      <c r="I22" s="320"/>
      <c r="J22" s="320"/>
      <c r="K22" s="320"/>
      <c r="L22" s="321"/>
    </row>
    <row r="23" spans="1:12" s="155" customFormat="1" ht="6.6" customHeight="1" thickBot="1" x14ac:dyDescent="0.35">
      <c r="A23" s="161"/>
      <c r="B23" s="162"/>
      <c r="C23" s="163"/>
      <c r="D23" s="163"/>
      <c r="E23" s="163"/>
      <c r="F23" s="163"/>
      <c r="G23" s="163"/>
      <c r="H23" s="163"/>
      <c r="I23" s="163"/>
      <c r="J23" s="163"/>
      <c r="K23" s="163"/>
      <c r="L23" s="164"/>
    </row>
    <row r="24" spans="1:12" ht="17.399999999999999" customHeight="1" thickBot="1" x14ac:dyDescent="0.35">
      <c r="A24" s="56" t="s">
        <v>136</v>
      </c>
      <c r="B24" s="57"/>
      <c r="C24" s="57"/>
      <c r="D24" s="57"/>
      <c r="E24" s="57"/>
      <c r="F24" s="57"/>
      <c r="G24" s="57"/>
      <c r="H24" s="57"/>
      <c r="I24" s="57"/>
      <c r="J24" s="57"/>
      <c r="K24" s="57"/>
      <c r="L24" s="58"/>
    </row>
    <row r="25" spans="1:12" x14ac:dyDescent="0.3">
      <c r="A25" s="14"/>
      <c r="B25" s="13"/>
      <c r="C25" s="138" t="s">
        <v>13</v>
      </c>
      <c r="D25" s="147" t="str">
        <f>D5</f>
        <v>SN1</v>
      </c>
      <c r="E25" s="147" t="str">
        <f t="shared" ref="E25:L25" si="14">E5</f>
        <v>SN2</v>
      </c>
      <c r="F25" s="147" t="str">
        <f t="shared" si="14"/>
        <v>SN3</v>
      </c>
      <c r="G25" s="147" t="str">
        <f t="shared" si="14"/>
        <v>SN4</v>
      </c>
      <c r="H25" s="147" t="str">
        <f t="shared" si="14"/>
        <v>SN5</v>
      </c>
      <c r="I25" s="147" t="str">
        <f t="shared" si="14"/>
        <v>SN6</v>
      </c>
      <c r="J25" s="147" t="str">
        <f t="shared" si="14"/>
        <v>SN7</v>
      </c>
      <c r="K25" s="147" t="str">
        <f t="shared" si="14"/>
        <v>SN8</v>
      </c>
      <c r="L25" s="157" t="str">
        <f t="shared" si="14"/>
        <v>SN9</v>
      </c>
    </row>
    <row r="26" spans="1:12" x14ac:dyDescent="0.3">
      <c r="A26" s="14"/>
      <c r="B26" s="20" t="s">
        <v>143</v>
      </c>
      <c r="C26" s="277">
        <f ca="1">SUM(D26:L26)</f>
        <v>0.33000000000000007</v>
      </c>
      <c r="D26" s="279">
        <f ca="1">IFERROR(INDIRECT(D$5&amp;"!C58"),0)</f>
        <v>0.11275000000000002</v>
      </c>
      <c r="E26" s="279">
        <f t="shared" ref="E26:L26" ca="1" si="15">IFERROR(INDIRECT(E$5&amp;"!C58"),0)</f>
        <v>2.4999999999999994E-2</v>
      </c>
      <c r="F26" s="279">
        <f t="shared" ca="1" si="15"/>
        <v>0.19225000000000003</v>
      </c>
      <c r="G26" s="279">
        <f t="shared" ca="1" si="15"/>
        <v>0</v>
      </c>
      <c r="H26" s="279">
        <f t="shared" ca="1" si="15"/>
        <v>0</v>
      </c>
      <c r="I26" s="279">
        <f t="shared" ca="1" si="15"/>
        <v>0</v>
      </c>
      <c r="J26" s="279">
        <f t="shared" ca="1" si="15"/>
        <v>0</v>
      </c>
      <c r="K26" s="279">
        <f t="shared" ca="1" si="15"/>
        <v>0</v>
      </c>
      <c r="L26" s="280">
        <f t="shared" ca="1" si="15"/>
        <v>0</v>
      </c>
    </row>
    <row r="27" spans="1:12" x14ac:dyDescent="0.3">
      <c r="A27" s="14"/>
      <c r="B27" s="20" t="s">
        <v>144</v>
      </c>
      <c r="C27" s="277">
        <f ca="1">SUM(D27:L27)</f>
        <v>0.42720000000000002</v>
      </c>
      <c r="D27" s="279">
        <f ca="1">IFERROR(INDIRECT(D$5&amp;"!C59"),0)+IFERROR(INDIRECT(D$5&amp;"!E85"),0)</f>
        <v>0.20799999999999999</v>
      </c>
      <c r="E27" s="279">
        <f t="shared" ref="E27:L27" ca="1" si="16">IFERROR(INDIRECT(E$5&amp;"!C59"),0)+IFERROR(INDIRECT(E$5&amp;"!E85"),0)</f>
        <v>2.5000000000000001E-2</v>
      </c>
      <c r="F27" s="279">
        <f t="shared" ca="1" si="16"/>
        <v>0.19420000000000001</v>
      </c>
      <c r="G27" s="279">
        <f t="shared" ca="1" si="16"/>
        <v>0</v>
      </c>
      <c r="H27" s="279">
        <f t="shared" ca="1" si="16"/>
        <v>0</v>
      </c>
      <c r="I27" s="279">
        <f t="shared" ca="1" si="16"/>
        <v>0</v>
      </c>
      <c r="J27" s="279">
        <f t="shared" ca="1" si="16"/>
        <v>0</v>
      </c>
      <c r="K27" s="279">
        <f t="shared" ca="1" si="16"/>
        <v>0</v>
      </c>
      <c r="L27" s="280">
        <f t="shared" ca="1" si="16"/>
        <v>0</v>
      </c>
    </row>
    <row r="28" spans="1:12" ht="15" thickBot="1" x14ac:dyDescent="0.35">
      <c r="A28" s="14"/>
      <c r="B28" s="20" t="s">
        <v>142</v>
      </c>
      <c r="C28" s="141" t="str">
        <f ca="1">IF(C27&gt;=C26,"Yes",IF(COUNTIF(D28:L28,"No")&lt;1,"Yes","No"))</f>
        <v>Yes</v>
      </c>
      <c r="D28" s="146" t="str">
        <f ca="1">IF(D26=0,"n/a",INDIRECT(D$5&amp;"!E86"))</f>
        <v>Yes</v>
      </c>
      <c r="E28" s="146" t="str">
        <f t="shared" ref="E28:L28" ca="1" si="17">IF(E26=0,"n/a",INDIRECT(E$5&amp;"!E86"))</f>
        <v>Yes</v>
      </c>
      <c r="F28" s="146" t="str">
        <f t="shared" ca="1" si="17"/>
        <v>Yes</v>
      </c>
      <c r="G28" s="146" t="str">
        <f t="shared" ca="1" si="17"/>
        <v>n/a</v>
      </c>
      <c r="H28" s="146" t="str">
        <f t="shared" ca="1" si="17"/>
        <v>n/a</v>
      </c>
      <c r="I28" s="146" t="str">
        <f t="shared" ca="1" si="17"/>
        <v>n/a</v>
      </c>
      <c r="J28" s="146" t="str">
        <f t="shared" ca="1" si="17"/>
        <v>n/a</v>
      </c>
      <c r="K28" s="146" t="str">
        <f t="shared" ca="1" si="17"/>
        <v>n/a</v>
      </c>
      <c r="L28" s="159" t="str">
        <f t="shared" ca="1" si="17"/>
        <v>n/a</v>
      </c>
    </row>
    <row r="29" spans="1:12" s="136" customFormat="1" ht="7.2" customHeight="1" x14ac:dyDescent="0.3">
      <c r="A29" s="14"/>
      <c r="B29" s="20"/>
      <c r="C29" s="154"/>
      <c r="D29" s="154"/>
      <c r="E29" s="146"/>
      <c r="F29" s="146"/>
      <c r="G29" s="146"/>
      <c r="H29" s="146"/>
      <c r="I29" s="146"/>
      <c r="J29" s="146"/>
      <c r="K29" s="146"/>
      <c r="L29" s="159"/>
    </row>
    <row r="30" spans="1:12" ht="31.2" customHeight="1" x14ac:dyDescent="0.3">
      <c r="A30" s="307" t="s">
        <v>226</v>
      </c>
      <c r="B30" s="308"/>
      <c r="C30" s="308"/>
      <c r="D30" s="308"/>
      <c r="E30" s="308"/>
      <c r="F30" s="308"/>
      <c r="G30" s="308"/>
      <c r="H30" s="308"/>
      <c r="I30" s="308"/>
      <c r="J30" s="308"/>
      <c r="K30" s="308"/>
      <c r="L30" s="309"/>
    </row>
    <row r="31" spans="1:12" s="148" customFormat="1" ht="5.4" customHeight="1" x14ac:dyDescent="0.3">
      <c r="A31" s="14"/>
      <c r="B31" s="165"/>
      <c r="C31" s="165"/>
      <c r="D31" s="165"/>
      <c r="E31" s="165"/>
      <c r="F31" s="165"/>
      <c r="G31" s="165"/>
      <c r="H31" s="165"/>
      <c r="I31" s="165"/>
      <c r="J31" s="165"/>
      <c r="K31" s="165"/>
      <c r="L31" s="166"/>
    </row>
    <row r="32" spans="1:12" s="148" customFormat="1" ht="78" customHeight="1" x14ac:dyDescent="0.3">
      <c r="A32" s="14"/>
      <c r="B32" s="160" t="s">
        <v>200</v>
      </c>
      <c r="C32" s="319"/>
      <c r="D32" s="320"/>
      <c r="E32" s="320"/>
      <c r="F32" s="320"/>
      <c r="G32" s="320"/>
      <c r="H32" s="320"/>
      <c r="I32" s="320"/>
      <c r="J32" s="320"/>
      <c r="K32" s="320"/>
      <c r="L32" s="321"/>
    </row>
    <row r="33" spans="1:12" s="155" customFormat="1" ht="9" customHeight="1" thickBot="1" x14ac:dyDescent="0.35">
      <c r="A33" s="161"/>
      <c r="B33" s="162"/>
      <c r="C33" s="163"/>
      <c r="D33" s="163"/>
      <c r="E33" s="163"/>
      <c r="F33" s="163"/>
      <c r="G33" s="163"/>
      <c r="H33" s="163"/>
      <c r="I33" s="163"/>
      <c r="J33" s="163"/>
      <c r="K33" s="163"/>
      <c r="L33" s="164"/>
    </row>
    <row r="34" spans="1:12" ht="17.399999999999999" customHeight="1" thickBot="1" x14ac:dyDescent="0.35">
      <c r="A34" s="56" t="s">
        <v>181</v>
      </c>
      <c r="B34" s="57"/>
      <c r="C34" s="57"/>
      <c r="D34" s="57"/>
      <c r="E34" s="57"/>
      <c r="F34" s="57"/>
      <c r="G34" s="57"/>
      <c r="H34" s="57"/>
      <c r="I34" s="57"/>
      <c r="J34" s="57"/>
      <c r="K34" s="57"/>
      <c r="L34" s="58"/>
    </row>
    <row r="35" spans="1:12" x14ac:dyDescent="0.3">
      <c r="A35" s="14"/>
      <c r="B35" s="13"/>
      <c r="C35" s="195" t="s">
        <v>13</v>
      </c>
      <c r="D35" s="7" t="str">
        <f>D5</f>
        <v>SN1</v>
      </c>
      <c r="E35" s="7" t="str">
        <f t="shared" ref="E35:L35" si="18">E5</f>
        <v>SN2</v>
      </c>
      <c r="F35" s="7" t="str">
        <f t="shared" si="18"/>
        <v>SN3</v>
      </c>
      <c r="G35" s="7" t="str">
        <f t="shared" si="18"/>
        <v>SN4</v>
      </c>
      <c r="H35" s="7" t="str">
        <f t="shared" si="18"/>
        <v>SN5</v>
      </c>
      <c r="I35" s="7" t="str">
        <f t="shared" si="18"/>
        <v>SN6</v>
      </c>
      <c r="J35" s="7" t="str">
        <f t="shared" si="18"/>
        <v>SN7</v>
      </c>
      <c r="K35" s="7" t="str">
        <f t="shared" si="18"/>
        <v>SN8</v>
      </c>
      <c r="L35" s="167" t="str">
        <f t="shared" si="18"/>
        <v>SN9</v>
      </c>
    </row>
    <row r="36" spans="1:12" x14ac:dyDescent="0.3">
      <c r="A36" s="14"/>
      <c r="B36" s="20" t="s">
        <v>227</v>
      </c>
      <c r="C36" s="196"/>
      <c r="D36" s="181" t="str">
        <f ca="1">IFERROR(IF(INDIRECT(D$35&amp;"!F89")=2,"No","Yes"),0)</f>
        <v>Yes</v>
      </c>
      <c r="E36" s="181" t="str">
        <f t="shared" ref="E36:L36" ca="1" si="19">IFERROR(IF(INDIRECT(E$35&amp;"!F89")=2,"No","Yes"),0)</f>
        <v>Yes</v>
      </c>
      <c r="F36" s="181" t="str">
        <f t="shared" ca="1" si="19"/>
        <v>Yes</v>
      </c>
      <c r="G36" s="181" t="str">
        <f t="shared" ca="1" si="19"/>
        <v>Yes</v>
      </c>
      <c r="H36" s="181" t="str">
        <f t="shared" ca="1" si="19"/>
        <v>Yes</v>
      </c>
      <c r="I36" s="181" t="str">
        <f t="shared" ca="1" si="19"/>
        <v>Yes</v>
      </c>
      <c r="J36" s="181" t="str">
        <f t="shared" ca="1" si="19"/>
        <v>Yes</v>
      </c>
      <c r="K36" s="181" t="str">
        <f t="shared" ca="1" si="19"/>
        <v>Yes</v>
      </c>
      <c r="L36" s="74" t="str">
        <f t="shared" ca="1" si="19"/>
        <v>Yes</v>
      </c>
    </row>
    <row r="37" spans="1:12" s="136" customFormat="1" ht="31.8" customHeight="1" x14ac:dyDescent="0.3">
      <c r="A37" s="14"/>
      <c r="B37" s="179" t="s">
        <v>187</v>
      </c>
      <c r="C37" s="196"/>
      <c r="D37" s="168" t="str">
        <f ca="1">IFERROR(IF(INDIRECT(D35&amp;"!E90")="","n/a",VLOOKUP(INDIRECT(D35&amp;"!E90"),Lookup!$L$2:$M$9,2,FALSE)),"")</f>
        <v>n/a</v>
      </c>
      <c r="E37" s="187" t="str">
        <f ca="1">IFERROR(IF(INDIRECT(E35&amp;"!E90")="","n/a",VLOOKUP(INDIRECT(E35&amp;"!E90"),Lookup!$L$2:$M$9,2,FALSE)),"")</f>
        <v>n/a</v>
      </c>
      <c r="F37" s="187" t="str">
        <f ca="1">IFERROR(IF(INDIRECT(F35&amp;"!E90")="","n/a",VLOOKUP(INDIRECT(F35&amp;"!E90"),Lookup!$L$2:$M$9,2,FALSE)),"")</f>
        <v>n/a</v>
      </c>
      <c r="G37" s="187" t="str">
        <f ca="1">IFERROR(IF(INDIRECT(G35&amp;"!E90")="","n/a",VLOOKUP(INDIRECT(G35&amp;"!E90"),Lookup!$L$2:$M$9,2,FALSE)),"")</f>
        <v>n/a</v>
      </c>
      <c r="H37" s="187" t="str">
        <f ca="1">IFERROR(IF(INDIRECT(H35&amp;"!E90")="","n/a",VLOOKUP(INDIRECT(H35&amp;"!E90"),Lookup!$L$2:$M$9,2,FALSE)),"")</f>
        <v>n/a</v>
      </c>
      <c r="I37" s="187" t="str">
        <f ca="1">IFERROR(IF(INDIRECT(I35&amp;"!E90")="","n/a",VLOOKUP(INDIRECT(I35&amp;"!E90"),Lookup!$L$2:$M$9,2,FALSE)),"")</f>
        <v>n/a</v>
      </c>
      <c r="J37" s="187" t="str">
        <f ca="1">IFERROR(IF(INDIRECT(J35&amp;"!E90")="","n/a",VLOOKUP(INDIRECT(J35&amp;"!E90"),Lookup!$L$2:$M$9,2,FALSE)),"")</f>
        <v>n/a</v>
      </c>
      <c r="K37" s="187" t="str">
        <f ca="1">IFERROR(IF(INDIRECT(K35&amp;"!E90")="","n/a",VLOOKUP(INDIRECT(K35&amp;"!E90"),Lookup!$L$2:$M$9,2,FALSE)),"")</f>
        <v>n/a</v>
      </c>
      <c r="L37" s="188" t="str">
        <f ca="1">IFERROR(IF(INDIRECT(L35&amp;"!E90")="","n/a",VLOOKUP(INDIRECT(L35&amp;"!E90"),Lookup!$L$2:$M$9,2,FALSE)),"")</f>
        <v>n/a</v>
      </c>
    </row>
    <row r="38" spans="1:12" ht="31.2" customHeight="1" x14ac:dyDescent="0.3">
      <c r="A38" s="14"/>
      <c r="B38" s="179" t="s">
        <v>183</v>
      </c>
      <c r="C38" s="196"/>
      <c r="D38" s="168" t="str">
        <f ca="1">IF(D36="Yes",IF(INDIRECT(D$35&amp;"!B91")="Yes","Hydrologic Condition Method",IF(INDIRECT(D$35&amp;"!G94")=TRUE(),"Alternate Extended Detention","Extended Detention")),"n/a")</f>
        <v>Hydrologic Condition Method</v>
      </c>
      <c r="E38" s="168" t="str">
        <f t="shared" ref="E38:L38" ca="1" si="20">IF(E36="Yes",IF(INDIRECT(E$35&amp;"!B91")="Yes","Hydrologic Condition Method",IF(INDIRECT(E$35&amp;"!G94")=TRUE(),"Alternate Extended Detention","Extended Detention")),"n/a")</f>
        <v>Extended Detention</v>
      </c>
      <c r="F38" s="168" t="str">
        <f t="shared" ca="1" si="20"/>
        <v>Extended Detention</v>
      </c>
      <c r="G38" s="168" t="str">
        <f t="shared" ca="1" si="20"/>
        <v>Hydrologic Condition Method</v>
      </c>
      <c r="H38" s="168" t="str">
        <f t="shared" ca="1" si="20"/>
        <v>Hydrologic Condition Method</v>
      </c>
      <c r="I38" s="168" t="str">
        <f t="shared" ca="1" si="20"/>
        <v>Hydrologic Condition Method</v>
      </c>
      <c r="J38" s="168" t="str">
        <f t="shared" ca="1" si="20"/>
        <v>Hydrologic Condition Method</v>
      </c>
      <c r="K38" s="168" t="str">
        <f t="shared" ca="1" si="20"/>
        <v>Hydrologic Condition Method</v>
      </c>
      <c r="L38" s="169" t="str">
        <f t="shared" ca="1" si="20"/>
        <v>Hydrologic Condition Method</v>
      </c>
    </row>
    <row r="39" spans="1:12" s="180" customFormat="1" ht="14.4" customHeight="1" x14ac:dyDescent="0.3">
      <c r="A39" s="14"/>
      <c r="B39" s="190" t="s">
        <v>229</v>
      </c>
      <c r="C39" s="281">
        <f ca="1">SUM(D39:L39)</f>
        <v>0.59793293147222504</v>
      </c>
      <c r="D39" s="282">
        <f ca="1">IFERROR(INDIRECT(D$5&amp;"!D58"),0)</f>
        <v>0.20540098248434727</v>
      </c>
      <c r="E39" s="282">
        <f t="shared" ref="E39:L39" ca="1" si="21">IFERROR(INDIRECT(E$5&amp;"!D58"),0)</f>
        <v>4.3682782030343204E-2</v>
      </c>
      <c r="F39" s="282">
        <f t="shared" ca="1" si="21"/>
        <v>0.3488491669575346</v>
      </c>
      <c r="G39" s="282">
        <f t="shared" ca="1" si="21"/>
        <v>0</v>
      </c>
      <c r="H39" s="282">
        <f t="shared" ca="1" si="21"/>
        <v>0</v>
      </c>
      <c r="I39" s="282">
        <f t="shared" ca="1" si="21"/>
        <v>0</v>
      </c>
      <c r="J39" s="282">
        <f t="shared" ca="1" si="21"/>
        <v>0</v>
      </c>
      <c r="K39" s="282">
        <f t="shared" ca="1" si="21"/>
        <v>0</v>
      </c>
      <c r="L39" s="298">
        <f t="shared" ca="1" si="21"/>
        <v>0</v>
      </c>
    </row>
    <row r="40" spans="1:12" s="180" customFormat="1" ht="14.4" customHeight="1" thickBot="1" x14ac:dyDescent="0.35">
      <c r="A40" s="14"/>
      <c r="B40" s="190" t="s">
        <v>228</v>
      </c>
      <c r="C40" s="283">
        <f ca="1">SUM(D40:L40)</f>
        <v>0.42720000000000002</v>
      </c>
      <c r="D40" s="284">
        <f ca="1">IFERROR(INDIRECT(D35&amp;"!D59"),0)</f>
        <v>0.20799999999999999</v>
      </c>
      <c r="E40" s="282">
        <f t="shared" ref="E40:L40" ca="1" si="22">IFERROR(INDIRECT(E35&amp;"!D59"),0)</f>
        <v>2.5000000000000001E-2</v>
      </c>
      <c r="F40" s="282">
        <f t="shared" ca="1" si="22"/>
        <v>0.19420000000000001</v>
      </c>
      <c r="G40" s="282">
        <f t="shared" ca="1" si="22"/>
        <v>0</v>
      </c>
      <c r="H40" s="282">
        <f t="shared" ca="1" si="22"/>
        <v>0</v>
      </c>
      <c r="I40" s="282">
        <f t="shared" ca="1" si="22"/>
        <v>0</v>
      </c>
      <c r="J40" s="282">
        <f t="shared" ca="1" si="22"/>
        <v>0</v>
      </c>
      <c r="K40" s="282">
        <f t="shared" ca="1" si="22"/>
        <v>0</v>
      </c>
      <c r="L40" s="298">
        <f t="shared" ca="1" si="22"/>
        <v>0</v>
      </c>
    </row>
    <row r="41" spans="1:12" ht="13.8" customHeight="1" x14ac:dyDescent="0.3">
      <c r="A41" s="14"/>
      <c r="B41" s="13"/>
      <c r="C41" s="13"/>
      <c r="D41" s="13"/>
      <c r="E41" s="13"/>
      <c r="F41" s="13"/>
      <c r="G41" s="13"/>
      <c r="H41" s="13"/>
      <c r="I41" s="13"/>
      <c r="J41" s="13"/>
      <c r="K41" s="13"/>
      <c r="L41" s="60"/>
    </row>
    <row r="42" spans="1:12" s="148" customFormat="1" ht="78" customHeight="1" x14ac:dyDescent="0.3">
      <c r="A42" s="14"/>
      <c r="B42" s="160" t="s">
        <v>200</v>
      </c>
      <c r="C42" s="319"/>
      <c r="D42" s="320"/>
      <c r="E42" s="320"/>
      <c r="F42" s="320"/>
      <c r="G42" s="320"/>
      <c r="H42" s="320"/>
      <c r="I42" s="320"/>
      <c r="J42" s="320"/>
      <c r="K42" s="320"/>
      <c r="L42" s="322"/>
    </row>
    <row r="43" spans="1:12" s="148" customFormat="1" ht="17.399999999999999" customHeight="1" thickBot="1" x14ac:dyDescent="0.35">
      <c r="A43" s="16"/>
      <c r="B43" s="186"/>
      <c r="C43" s="163"/>
      <c r="D43" s="163"/>
      <c r="E43" s="163"/>
      <c r="F43" s="163"/>
      <c r="G43" s="163"/>
      <c r="H43" s="163"/>
      <c r="I43" s="163"/>
      <c r="J43" s="163"/>
      <c r="K43" s="163"/>
      <c r="L43" s="164"/>
    </row>
    <row r="44" spans="1:12" ht="15.6" x14ac:dyDescent="0.3">
      <c r="A44" s="56" t="s">
        <v>184</v>
      </c>
      <c r="B44" s="57"/>
      <c r="C44" s="57"/>
      <c r="D44" s="57"/>
      <c r="E44" s="57"/>
      <c r="F44" s="57"/>
      <c r="G44" s="57"/>
      <c r="H44" s="57"/>
      <c r="I44" s="57"/>
      <c r="J44" s="57"/>
      <c r="K44" s="57"/>
      <c r="L44" s="58"/>
    </row>
    <row r="45" spans="1:12" x14ac:dyDescent="0.3">
      <c r="A45" s="14"/>
      <c r="B45" s="13"/>
      <c r="C45" s="13"/>
      <c r="D45" s="7" t="str">
        <f>D5</f>
        <v>SN1</v>
      </c>
      <c r="E45" s="7" t="str">
        <f t="shared" ref="E45:L45" si="23">E5</f>
        <v>SN2</v>
      </c>
      <c r="F45" s="7" t="str">
        <f t="shared" si="23"/>
        <v>SN3</v>
      </c>
      <c r="G45" s="7" t="str">
        <f t="shared" si="23"/>
        <v>SN4</v>
      </c>
      <c r="H45" s="7" t="str">
        <f t="shared" si="23"/>
        <v>SN5</v>
      </c>
      <c r="I45" s="7" t="str">
        <f t="shared" si="23"/>
        <v>SN6</v>
      </c>
      <c r="J45" s="7" t="str">
        <f t="shared" si="23"/>
        <v>SN7</v>
      </c>
      <c r="K45" s="7" t="str">
        <f t="shared" si="23"/>
        <v>SN8</v>
      </c>
      <c r="L45" s="167" t="str">
        <f t="shared" si="23"/>
        <v>SN9</v>
      </c>
    </row>
    <row r="46" spans="1:12" x14ac:dyDescent="0.3">
      <c r="A46" s="14"/>
      <c r="B46" s="20"/>
      <c r="C46" s="183" t="s">
        <v>227</v>
      </c>
      <c r="D46" s="7" t="str">
        <f ca="1">IFERROR(IF(INDIRECT(D45&amp;"!F102")=1,"Yes","No"),0)</f>
        <v>Yes</v>
      </c>
      <c r="E46" s="7" t="str">
        <f t="shared" ref="E46:L46" ca="1" si="24">IFERROR(IF(INDIRECT(E45&amp;"!F102")=1,"Yes","No"),0)</f>
        <v>Yes</v>
      </c>
      <c r="F46" s="7" t="str">
        <f t="shared" ca="1" si="24"/>
        <v>Yes</v>
      </c>
      <c r="G46" s="7" t="str">
        <f t="shared" ca="1" si="24"/>
        <v>Yes</v>
      </c>
      <c r="H46" s="7" t="str">
        <f t="shared" ca="1" si="24"/>
        <v>Yes</v>
      </c>
      <c r="I46" s="7" t="str">
        <f t="shared" ca="1" si="24"/>
        <v>Yes</v>
      </c>
      <c r="J46" s="7" t="str">
        <f t="shared" ca="1" si="24"/>
        <v>Yes</v>
      </c>
      <c r="K46" s="7" t="str">
        <f t="shared" ca="1" si="24"/>
        <v>Yes</v>
      </c>
      <c r="L46" s="167" t="str">
        <f t="shared" ca="1" si="24"/>
        <v>Yes</v>
      </c>
    </row>
    <row r="47" spans="1:12" x14ac:dyDescent="0.3">
      <c r="A47" s="14"/>
      <c r="B47" s="13"/>
      <c r="C47" s="20" t="s">
        <v>197</v>
      </c>
      <c r="D47" s="7">
        <f ca="1">IFERROR(INDIRECT(D$45&amp;"!D106"),"")</f>
        <v>9.3800000000000008</v>
      </c>
      <c r="E47" s="7">
        <f t="shared" ref="E47:L47" ca="1" si="25">IFERROR(INDIRECT(E$45&amp;"!D106"),"")</f>
        <v>4.8</v>
      </c>
      <c r="F47" s="7">
        <f t="shared" ca="1" si="25"/>
        <v>12.63</v>
      </c>
      <c r="G47" s="7">
        <f t="shared" ca="1" si="25"/>
        <v>0</v>
      </c>
      <c r="H47" s="7">
        <f t="shared" ca="1" si="25"/>
        <v>0</v>
      </c>
      <c r="I47" s="7">
        <f t="shared" ca="1" si="25"/>
        <v>0</v>
      </c>
      <c r="J47" s="7">
        <f t="shared" ca="1" si="25"/>
        <v>0</v>
      </c>
      <c r="K47" s="7">
        <f t="shared" ca="1" si="25"/>
        <v>0</v>
      </c>
      <c r="L47" s="167">
        <f t="shared" ca="1" si="25"/>
        <v>0</v>
      </c>
    </row>
    <row r="48" spans="1:12" x14ac:dyDescent="0.3">
      <c r="A48" s="14"/>
      <c r="B48" s="13"/>
      <c r="C48" s="20" t="s">
        <v>198</v>
      </c>
      <c r="D48" s="7">
        <f ca="1">IFERROR(INDIRECT(D$45&amp;"!D108"),"")</f>
        <v>3.88</v>
      </c>
      <c r="E48" s="7">
        <f t="shared" ref="E48:L48" ca="1" si="26">IFERROR(INDIRECT(E$45&amp;"!D108"),"")</f>
        <v>1.06</v>
      </c>
      <c r="F48" s="7">
        <f t="shared" ca="1" si="26"/>
        <v>12.4</v>
      </c>
      <c r="G48" s="7">
        <f t="shared" ca="1" si="26"/>
        <v>0</v>
      </c>
      <c r="H48" s="7">
        <f t="shared" ca="1" si="26"/>
        <v>0</v>
      </c>
      <c r="I48" s="7">
        <f t="shared" ca="1" si="26"/>
        <v>0</v>
      </c>
      <c r="J48" s="7">
        <f t="shared" ca="1" si="26"/>
        <v>0</v>
      </c>
      <c r="K48" s="7">
        <f t="shared" ca="1" si="26"/>
        <v>0</v>
      </c>
      <c r="L48" s="167">
        <f t="shared" ca="1" si="26"/>
        <v>0</v>
      </c>
    </row>
    <row r="49" spans="1:12" ht="29.4" customHeight="1" x14ac:dyDescent="0.3">
      <c r="A49" s="14"/>
      <c r="B49" s="13"/>
      <c r="C49" s="183" t="s">
        <v>187</v>
      </c>
      <c r="D49" s="168" t="str">
        <f ca="1">IFERROR(IF(INDIRECT(D$45&amp;"!E103")="","n/a",VLOOKUP(INDIRECT(D$45&amp;"!E103"),Lookup!$L$2:$M$9,2,FALSE)),"")</f>
        <v>n/a</v>
      </c>
      <c r="E49" s="168" t="str">
        <f ca="1">IFERROR(IF(INDIRECT(E$45&amp;"!E103")="","n/a",VLOOKUP(INDIRECT(E$45&amp;"!E103"),Lookup!$L$2:$M$9,2,FALSE)),"")</f>
        <v>n/a</v>
      </c>
      <c r="F49" s="168" t="str">
        <f ca="1">IFERROR(IF(INDIRECT(F$45&amp;"!E103")="","n/a",VLOOKUP(INDIRECT(F$45&amp;"!E103"),Lookup!$L$2:$M$9,2,FALSE)),"")</f>
        <v>n/a</v>
      </c>
      <c r="G49" s="168" t="str">
        <f ca="1">IFERROR(IF(INDIRECT(G$45&amp;"!E103")="","n/a",VLOOKUP(INDIRECT(G$45&amp;"!E103"),Lookup!$L$2:$M$9,2,FALSE)),"")</f>
        <v>n/a</v>
      </c>
      <c r="H49" s="168" t="str">
        <f ca="1">IFERROR(IF(INDIRECT(H$45&amp;"!E103")="","n/a",VLOOKUP(INDIRECT(H$45&amp;"!E103"),Lookup!$L$2:$M$9,2,FALSE)),"")</f>
        <v>n/a</v>
      </c>
      <c r="I49" s="168" t="str">
        <f ca="1">IFERROR(IF(INDIRECT(I$45&amp;"!E103")="","n/a",VLOOKUP(INDIRECT(I$45&amp;"!E103"),Lookup!$L$2:$M$9,2,FALSE)),"")</f>
        <v>n/a</v>
      </c>
      <c r="J49" s="168" t="str">
        <f ca="1">IFERROR(IF(INDIRECT(J$45&amp;"!E103")="","n/a",VLOOKUP(INDIRECT(J$45&amp;"!E103"),Lookup!$L$2:$M$9,2,FALSE)),"")</f>
        <v>n/a</v>
      </c>
      <c r="K49" s="168" t="str">
        <f ca="1">IFERROR(IF(INDIRECT(K$45&amp;"!E103")="","n/a",VLOOKUP(INDIRECT(K$45&amp;"!E103"),Lookup!$L$2:$M$9,2,FALSE)),"")</f>
        <v>n/a</v>
      </c>
      <c r="L49" s="169" t="str">
        <f ca="1">IFERROR(IF(INDIRECT(L$45&amp;"!E103")="","n/a",VLOOKUP(INDIRECT(L$45&amp;"!E103"),Lookup!$L$2:$M$9,2,FALSE)),"")</f>
        <v>n/a</v>
      </c>
    </row>
    <row r="50" spans="1:12" x14ac:dyDescent="0.3">
      <c r="A50" s="14"/>
      <c r="B50" s="13"/>
      <c r="C50" s="13"/>
      <c r="D50" s="13"/>
      <c r="E50" s="13"/>
      <c r="F50" s="13"/>
      <c r="G50" s="13"/>
      <c r="H50" s="13"/>
      <c r="I50" s="13"/>
      <c r="J50" s="13"/>
      <c r="K50" s="13"/>
      <c r="L50" s="60"/>
    </row>
    <row r="51" spans="1:12" s="148" customFormat="1" ht="78" customHeight="1" x14ac:dyDescent="0.3">
      <c r="A51" s="14"/>
      <c r="B51" s="160" t="s">
        <v>200</v>
      </c>
      <c r="C51" s="319"/>
      <c r="D51" s="320"/>
      <c r="E51" s="320"/>
      <c r="F51" s="320"/>
      <c r="G51" s="320"/>
      <c r="H51" s="320"/>
      <c r="I51" s="320"/>
      <c r="J51" s="320"/>
      <c r="K51" s="320"/>
      <c r="L51" s="321"/>
    </row>
    <row r="52" spans="1:12" s="148" customFormat="1" ht="15" thickBot="1" x14ac:dyDescent="0.35">
      <c r="A52" s="16"/>
      <c r="B52" s="17"/>
      <c r="C52" s="17"/>
      <c r="D52" s="17"/>
      <c r="E52" s="17"/>
      <c r="F52" s="17"/>
      <c r="G52" s="17"/>
      <c r="H52" s="17"/>
      <c r="I52" s="17"/>
      <c r="J52" s="17"/>
      <c r="K52" s="17"/>
      <c r="L52" s="70"/>
    </row>
    <row r="53" spans="1:12" ht="15.6" x14ac:dyDescent="0.3">
      <c r="A53" s="56" t="s">
        <v>196</v>
      </c>
      <c r="B53" s="57"/>
      <c r="C53" s="57"/>
      <c r="D53" s="57"/>
      <c r="E53" s="57"/>
      <c r="F53" s="57"/>
      <c r="G53" s="57"/>
      <c r="H53" s="57"/>
      <c r="I53" s="57"/>
      <c r="J53" s="57"/>
      <c r="K53" s="57"/>
      <c r="L53" s="58"/>
    </row>
    <row r="54" spans="1:12" x14ac:dyDescent="0.3">
      <c r="A54" s="14"/>
      <c r="B54" s="13"/>
      <c r="C54" s="13"/>
      <c r="D54" s="7" t="str">
        <f>D5</f>
        <v>SN1</v>
      </c>
      <c r="E54" s="7" t="str">
        <f t="shared" ref="E54:L54" si="27">E5</f>
        <v>SN2</v>
      </c>
      <c r="F54" s="7" t="str">
        <f t="shared" si="27"/>
        <v>SN3</v>
      </c>
      <c r="G54" s="7" t="str">
        <f t="shared" si="27"/>
        <v>SN4</v>
      </c>
      <c r="H54" s="7" t="str">
        <f t="shared" si="27"/>
        <v>SN5</v>
      </c>
      <c r="I54" s="7" t="str">
        <f t="shared" si="27"/>
        <v>SN6</v>
      </c>
      <c r="J54" s="7" t="str">
        <f t="shared" si="27"/>
        <v>SN7</v>
      </c>
      <c r="K54" s="7" t="str">
        <f t="shared" si="27"/>
        <v>SN8</v>
      </c>
      <c r="L54" s="167" t="str">
        <f t="shared" si="27"/>
        <v>SN9</v>
      </c>
    </row>
    <row r="55" spans="1:12" x14ac:dyDescent="0.3">
      <c r="A55" s="14"/>
      <c r="B55" s="20"/>
      <c r="C55" s="149" t="s">
        <v>227</v>
      </c>
      <c r="D55" s="7" t="str">
        <f ca="1">IFERROR(IF(INDIRECT(D54&amp;"!F114")=1,"Yes","No"),"")</f>
        <v>No</v>
      </c>
      <c r="E55" s="7" t="str">
        <f t="shared" ref="E55:L55" ca="1" si="28">IFERROR(IF(INDIRECT(E54&amp;"!F114")=1,"Yes","No"),"")</f>
        <v>No</v>
      </c>
      <c r="F55" s="7" t="str">
        <f t="shared" ca="1" si="28"/>
        <v>No</v>
      </c>
      <c r="G55" s="7" t="str">
        <f t="shared" ca="1" si="28"/>
        <v>Yes</v>
      </c>
      <c r="H55" s="7" t="str">
        <f t="shared" ca="1" si="28"/>
        <v>Yes</v>
      </c>
      <c r="I55" s="7" t="str">
        <f t="shared" ca="1" si="28"/>
        <v>Yes</v>
      </c>
      <c r="J55" s="7" t="str">
        <f t="shared" ca="1" si="28"/>
        <v>Yes</v>
      </c>
      <c r="K55" s="7" t="str">
        <f t="shared" ca="1" si="28"/>
        <v>Yes</v>
      </c>
      <c r="L55" s="167" t="str">
        <f t="shared" ca="1" si="28"/>
        <v>Yes</v>
      </c>
    </row>
    <row r="56" spans="1:12" x14ac:dyDescent="0.3">
      <c r="A56" s="14"/>
      <c r="B56" s="13"/>
      <c r="C56" s="20" t="s">
        <v>197</v>
      </c>
      <c r="D56" s="7">
        <f ca="1">IFERROR(INDIRECT(D$45&amp;"!D118"),"")</f>
        <v>0</v>
      </c>
      <c r="E56" s="7">
        <f t="shared" ref="E56:L56" ca="1" si="29">IFERROR(INDIRECT(E$45&amp;"!D118"),"")</f>
        <v>0</v>
      </c>
      <c r="F56" s="7">
        <f t="shared" ca="1" si="29"/>
        <v>0</v>
      </c>
      <c r="G56" s="7">
        <f t="shared" ca="1" si="29"/>
        <v>0</v>
      </c>
      <c r="H56" s="7">
        <f t="shared" ca="1" si="29"/>
        <v>0</v>
      </c>
      <c r="I56" s="7">
        <f t="shared" ca="1" si="29"/>
        <v>0</v>
      </c>
      <c r="J56" s="7">
        <f t="shared" ca="1" si="29"/>
        <v>0</v>
      </c>
      <c r="K56" s="7">
        <f t="shared" ca="1" si="29"/>
        <v>0</v>
      </c>
      <c r="L56" s="167">
        <f t="shared" ca="1" si="29"/>
        <v>0</v>
      </c>
    </row>
    <row r="57" spans="1:12" x14ac:dyDescent="0.3">
      <c r="A57" s="14"/>
      <c r="B57" s="13"/>
      <c r="C57" s="20" t="s">
        <v>198</v>
      </c>
      <c r="D57" s="7">
        <f ca="1">IFERROR(INDIRECT(D$45&amp;"!D120"),"")</f>
        <v>0</v>
      </c>
      <c r="E57" s="7">
        <f t="shared" ref="E57:L57" ca="1" si="30">IFERROR(INDIRECT(E$45&amp;"!D120"),"")</f>
        <v>0</v>
      </c>
      <c r="F57" s="7">
        <f t="shared" ca="1" si="30"/>
        <v>0</v>
      </c>
      <c r="G57" s="7">
        <f t="shared" ca="1" si="30"/>
        <v>0</v>
      </c>
      <c r="H57" s="7">
        <f t="shared" ca="1" si="30"/>
        <v>0</v>
      </c>
      <c r="I57" s="7">
        <f t="shared" ca="1" si="30"/>
        <v>0</v>
      </c>
      <c r="J57" s="7">
        <f t="shared" ca="1" si="30"/>
        <v>0</v>
      </c>
      <c r="K57" s="7">
        <f t="shared" ca="1" si="30"/>
        <v>0</v>
      </c>
      <c r="L57" s="167">
        <f t="shared" ca="1" si="30"/>
        <v>0</v>
      </c>
    </row>
    <row r="58" spans="1:12" ht="27" customHeight="1" x14ac:dyDescent="0.3">
      <c r="A58" s="14"/>
      <c r="B58" s="13"/>
      <c r="C58" s="149" t="s">
        <v>187</v>
      </c>
      <c r="D58" s="168" t="str">
        <f ca="1">IFERROR(IF(INDIRECT(D$45&amp;"!E115")="","n/a",VLOOKUP(INDIRECT(D$45&amp;"!E115"),Lookup!$L$2:$M$9,2,FALSE)),"")</f>
        <v>&lt; 10 ac impervious</v>
      </c>
      <c r="E58" s="168" t="str">
        <f ca="1">IFERROR(IF(INDIRECT(E$45&amp;"!E115")="","n/a",VLOOKUP(INDIRECT(E$45&amp;"!E115"),Lookup!$L$2:$M$9,2,FALSE)),"")</f>
        <v>&lt; 10 ac impervious</v>
      </c>
      <c r="F58" s="168" t="str">
        <f ca="1">IFERROR(IF(INDIRECT(F$45&amp;"!E115")="","n/a",VLOOKUP(INDIRECT(F$45&amp;"!E115"),Lookup!$L$2:$M$9,2,FALSE)),"")</f>
        <v>&lt; 10 ac impervious</v>
      </c>
      <c r="G58" s="168" t="str">
        <f ca="1">IFERROR(IF(INDIRECT(G$45&amp;"!E115")="","n/a",VLOOKUP(INDIRECT(G$45&amp;"!E115"),Lookup!$L$2:$M$9,2,FALSE)),"")</f>
        <v>n/a</v>
      </c>
      <c r="H58" s="168" t="str">
        <f ca="1">IFERROR(IF(INDIRECT(H$45&amp;"!E115")="","n/a",VLOOKUP(INDIRECT(H$45&amp;"!E115"),Lookup!$L$2:$M$9,2,FALSE)),"")</f>
        <v>n/a</v>
      </c>
      <c r="I58" s="168" t="str">
        <f ca="1">IFERROR(IF(INDIRECT(I$45&amp;"!E115")="","n/a",VLOOKUP(INDIRECT(I$45&amp;"!E115"),Lookup!$L$2:$M$9,2,FALSE)),"")</f>
        <v>n/a</v>
      </c>
      <c r="J58" s="168" t="str">
        <f ca="1">IFERROR(IF(INDIRECT(J$45&amp;"!E115")="","n/a",VLOOKUP(INDIRECT(J$45&amp;"!E115"),Lookup!$L$2:$M$9,2,FALSE)),"")</f>
        <v>n/a</v>
      </c>
      <c r="K58" s="168" t="str">
        <f ca="1">IFERROR(IF(INDIRECT(K$45&amp;"!E115")="","n/a",VLOOKUP(INDIRECT(K$45&amp;"!E115"),Lookup!$L$2:$M$9,2,FALSE)),"")</f>
        <v>n/a</v>
      </c>
      <c r="L58" s="169" t="str">
        <f ca="1">IFERROR(IF(INDIRECT(L$45&amp;"!E115")="","n/a",VLOOKUP(INDIRECT(L$45&amp;"!E115"),Lookup!$L$2:$M$9,2,FALSE)),"")</f>
        <v>n/a</v>
      </c>
    </row>
    <row r="59" spans="1:12" x14ac:dyDescent="0.3">
      <c r="A59" s="14"/>
      <c r="B59" s="13"/>
      <c r="C59" s="13"/>
      <c r="D59" s="13"/>
      <c r="E59" s="13"/>
      <c r="F59" s="13"/>
      <c r="G59" s="13"/>
      <c r="H59" s="13"/>
      <c r="I59" s="13"/>
      <c r="J59" s="13"/>
      <c r="K59" s="13"/>
      <c r="L59" s="60"/>
    </row>
    <row r="60" spans="1:12" ht="78" customHeight="1" x14ac:dyDescent="0.3">
      <c r="A60" s="14"/>
      <c r="B60" s="160" t="s">
        <v>200</v>
      </c>
      <c r="C60" s="319"/>
      <c r="D60" s="320"/>
      <c r="E60" s="320"/>
      <c r="F60" s="320"/>
      <c r="G60" s="320"/>
      <c r="H60" s="320"/>
      <c r="I60" s="320"/>
      <c r="J60" s="320"/>
      <c r="K60" s="320"/>
      <c r="L60" s="321"/>
    </row>
    <row r="61" spans="1:12" ht="15" thickBot="1" x14ac:dyDescent="0.35">
      <c r="A61" s="16"/>
      <c r="B61" s="17"/>
      <c r="C61" s="17"/>
      <c r="D61" s="17"/>
      <c r="E61" s="17"/>
      <c r="F61" s="17"/>
      <c r="G61" s="17"/>
      <c r="H61" s="17"/>
      <c r="I61" s="17"/>
      <c r="J61" s="17"/>
      <c r="K61" s="17"/>
      <c r="L61" s="70"/>
    </row>
    <row r="62" spans="1:12" ht="15.6" x14ac:dyDescent="0.3">
      <c r="A62" s="56" t="s">
        <v>206</v>
      </c>
      <c r="B62" s="57"/>
      <c r="C62" s="57"/>
      <c r="D62" s="57"/>
      <c r="E62" s="57"/>
      <c r="F62" s="57"/>
      <c r="G62" s="57"/>
      <c r="H62" s="57"/>
      <c r="I62" s="57"/>
      <c r="J62" s="57"/>
      <c r="K62" s="57"/>
      <c r="L62" s="58"/>
    </row>
    <row r="63" spans="1:12" ht="95.4" customHeight="1" x14ac:dyDescent="0.3">
      <c r="A63" s="310"/>
      <c r="B63" s="311"/>
      <c r="C63" s="311"/>
      <c r="D63" s="311"/>
      <c r="E63" s="311"/>
      <c r="F63" s="311"/>
      <c r="G63" s="311"/>
      <c r="H63" s="311"/>
      <c r="I63" s="311"/>
      <c r="J63" s="311"/>
      <c r="K63" s="311"/>
      <c r="L63" s="312"/>
    </row>
    <row r="64" spans="1:12" x14ac:dyDescent="0.3">
      <c r="A64" s="313"/>
      <c r="B64" s="314"/>
      <c r="C64" s="314"/>
      <c r="D64" s="314"/>
      <c r="E64" s="314"/>
      <c r="F64" s="314"/>
      <c r="G64" s="314"/>
      <c r="H64" s="314"/>
      <c r="I64" s="314"/>
      <c r="J64" s="314"/>
      <c r="K64" s="314"/>
      <c r="L64" s="315"/>
    </row>
    <row r="65" spans="1:12" x14ac:dyDescent="0.3">
      <c r="A65" s="313"/>
      <c r="B65" s="314"/>
      <c r="C65" s="314"/>
      <c r="D65" s="314"/>
      <c r="E65" s="314"/>
      <c r="F65" s="314"/>
      <c r="G65" s="314"/>
      <c r="H65" s="314"/>
      <c r="I65" s="314"/>
      <c r="J65" s="314"/>
      <c r="K65" s="314"/>
      <c r="L65" s="315"/>
    </row>
    <row r="66" spans="1:12" x14ac:dyDescent="0.3">
      <c r="A66" s="313"/>
      <c r="B66" s="314"/>
      <c r="C66" s="314"/>
      <c r="D66" s="314"/>
      <c r="E66" s="314"/>
      <c r="F66" s="314"/>
      <c r="G66" s="314"/>
      <c r="H66" s="314"/>
      <c r="I66" s="314"/>
      <c r="J66" s="314"/>
      <c r="K66" s="314"/>
      <c r="L66" s="315"/>
    </row>
    <row r="67" spans="1:12" x14ac:dyDescent="0.3">
      <c r="A67" s="313"/>
      <c r="B67" s="314"/>
      <c r="C67" s="314"/>
      <c r="D67" s="314"/>
      <c r="E67" s="314"/>
      <c r="F67" s="314"/>
      <c r="G67" s="314"/>
      <c r="H67" s="314"/>
      <c r="I67" s="314"/>
      <c r="J67" s="314"/>
      <c r="K67" s="314"/>
      <c r="L67" s="315"/>
    </row>
    <row r="68" spans="1:12" x14ac:dyDescent="0.3">
      <c r="A68" s="313"/>
      <c r="B68" s="314"/>
      <c r="C68" s="314"/>
      <c r="D68" s="314"/>
      <c r="E68" s="314"/>
      <c r="F68" s="314"/>
      <c r="G68" s="314"/>
      <c r="H68" s="314"/>
      <c r="I68" s="314"/>
      <c r="J68" s="314"/>
      <c r="K68" s="314"/>
      <c r="L68" s="315"/>
    </row>
    <row r="69" spans="1:12" x14ac:dyDescent="0.3">
      <c r="A69" s="313"/>
      <c r="B69" s="314"/>
      <c r="C69" s="314"/>
      <c r="D69" s="314"/>
      <c r="E69" s="314"/>
      <c r="F69" s="314"/>
      <c r="G69" s="314"/>
      <c r="H69" s="314"/>
      <c r="I69" s="314"/>
      <c r="J69" s="314"/>
      <c r="K69" s="314"/>
      <c r="L69" s="315"/>
    </row>
    <row r="70" spans="1:12" x14ac:dyDescent="0.3">
      <c r="A70" s="313"/>
      <c r="B70" s="314"/>
      <c r="C70" s="314"/>
      <c r="D70" s="314"/>
      <c r="E70" s="314"/>
      <c r="F70" s="314"/>
      <c r="G70" s="314"/>
      <c r="H70" s="314"/>
      <c r="I70" s="314"/>
      <c r="J70" s="314"/>
      <c r="K70" s="314"/>
      <c r="L70" s="315"/>
    </row>
    <row r="71" spans="1:12" x14ac:dyDescent="0.3">
      <c r="A71" s="313"/>
      <c r="B71" s="314"/>
      <c r="C71" s="314"/>
      <c r="D71" s="314"/>
      <c r="E71" s="314"/>
      <c r="F71" s="314"/>
      <c r="G71" s="314"/>
      <c r="H71" s="314"/>
      <c r="I71" s="314"/>
      <c r="J71" s="314"/>
      <c r="K71" s="314"/>
      <c r="L71" s="315"/>
    </row>
    <row r="72" spans="1:12" x14ac:dyDescent="0.3">
      <c r="A72" s="313"/>
      <c r="B72" s="314"/>
      <c r="C72" s="314"/>
      <c r="D72" s="314"/>
      <c r="E72" s="314"/>
      <c r="F72" s="314"/>
      <c r="G72" s="314"/>
      <c r="H72" s="314"/>
      <c r="I72" s="314"/>
      <c r="J72" s="314"/>
      <c r="K72" s="314"/>
      <c r="L72" s="315"/>
    </row>
    <row r="73" spans="1:12" x14ac:dyDescent="0.3">
      <c r="A73" s="313"/>
      <c r="B73" s="314"/>
      <c r="C73" s="314"/>
      <c r="D73" s="314"/>
      <c r="E73" s="314"/>
      <c r="F73" s="314"/>
      <c r="G73" s="314"/>
      <c r="H73" s="314"/>
      <c r="I73" s="314"/>
      <c r="J73" s="314"/>
      <c r="K73" s="314"/>
      <c r="L73" s="315"/>
    </row>
    <row r="74" spans="1:12" x14ac:dyDescent="0.3">
      <c r="A74" s="313"/>
      <c r="B74" s="314"/>
      <c r="C74" s="314"/>
      <c r="D74" s="314"/>
      <c r="E74" s="314"/>
      <c r="F74" s="314"/>
      <c r="G74" s="314"/>
      <c r="H74" s="314"/>
      <c r="I74" s="314"/>
      <c r="J74" s="314"/>
      <c r="K74" s="314"/>
      <c r="L74" s="315"/>
    </row>
    <row r="75" spans="1:12" x14ac:dyDescent="0.3">
      <c r="A75" s="313"/>
      <c r="B75" s="314"/>
      <c r="C75" s="314"/>
      <c r="D75" s="314"/>
      <c r="E75" s="314"/>
      <c r="F75" s="314"/>
      <c r="G75" s="314"/>
      <c r="H75" s="314"/>
      <c r="I75" s="314"/>
      <c r="J75" s="314"/>
      <c r="K75" s="314"/>
      <c r="L75" s="315"/>
    </row>
    <row r="76" spans="1:12" x14ac:dyDescent="0.3">
      <c r="A76" s="313"/>
      <c r="B76" s="314"/>
      <c r="C76" s="314"/>
      <c r="D76" s="314"/>
      <c r="E76" s="314"/>
      <c r="F76" s="314"/>
      <c r="G76" s="314"/>
      <c r="H76" s="314"/>
      <c r="I76" s="314"/>
      <c r="J76" s="314"/>
      <c r="K76" s="314"/>
      <c r="L76" s="315"/>
    </row>
    <row r="77" spans="1:12" x14ac:dyDescent="0.3">
      <c r="A77" s="313"/>
      <c r="B77" s="314"/>
      <c r="C77" s="314"/>
      <c r="D77" s="314"/>
      <c r="E77" s="314"/>
      <c r="F77" s="314"/>
      <c r="G77" s="314"/>
      <c r="H77" s="314"/>
      <c r="I77" s="314"/>
      <c r="J77" s="314"/>
      <c r="K77" s="314"/>
      <c r="L77" s="315"/>
    </row>
    <row r="78" spans="1:12" x14ac:dyDescent="0.3">
      <c r="A78" s="313"/>
      <c r="B78" s="314"/>
      <c r="C78" s="314"/>
      <c r="D78" s="314"/>
      <c r="E78" s="314"/>
      <c r="F78" s="314"/>
      <c r="G78" s="314"/>
      <c r="H78" s="314"/>
      <c r="I78" s="314"/>
      <c r="J78" s="314"/>
      <c r="K78" s="314"/>
      <c r="L78" s="315"/>
    </row>
    <row r="79" spans="1:12" x14ac:dyDescent="0.3">
      <c r="A79" s="313"/>
      <c r="B79" s="314"/>
      <c r="C79" s="314"/>
      <c r="D79" s="314"/>
      <c r="E79" s="314"/>
      <c r="F79" s="314"/>
      <c r="G79" s="314"/>
      <c r="H79" s="314"/>
      <c r="I79" s="314"/>
      <c r="J79" s="314"/>
      <c r="K79" s="314"/>
      <c r="L79" s="315"/>
    </row>
    <row r="80" spans="1:12" x14ac:dyDescent="0.3">
      <c r="A80" s="313"/>
      <c r="B80" s="314"/>
      <c r="C80" s="314"/>
      <c r="D80" s="314"/>
      <c r="E80" s="314"/>
      <c r="F80" s="314"/>
      <c r="G80" s="314"/>
      <c r="H80" s="314"/>
      <c r="I80" s="314"/>
      <c r="J80" s="314"/>
      <c r="K80" s="314"/>
      <c r="L80" s="315"/>
    </row>
    <row r="81" spans="1:12" x14ac:dyDescent="0.3">
      <c r="A81" s="313"/>
      <c r="B81" s="314"/>
      <c r="C81" s="314"/>
      <c r="D81" s="314"/>
      <c r="E81" s="314"/>
      <c r="F81" s="314"/>
      <c r="G81" s="314"/>
      <c r="H81" s="314"/>
      <c r="I81" s="314"/>
      <c r="J81" s="314"/>
      <c r="K81" s="314"/>
      <c r="L81" s="315"/>
    </row>
    <row r="82" spans="1:12" x14ac:dyDescent="0.3">
      <c r="A82" s="313"/>
      <c r="B82" s="314"/>
      <c r="C82" s="314"/>
      <c r="D82" s="314"/>
      <c r="E82" s="314"/>
      <c r="F82" s="314"/>
      <c r="G82" s="314"/>
      <c r="H82" s="314"/>
      <c r="I82" s="314"/>
      <c r="J82" s="314"/>
      <c r="K82" s="314"/>
      <c r="L82" s="315"/>
    </row>
    <row r="83" spans="1:12" x14ac:dyDescent="0.3">
      <c r="A83" s="313"/>
      <c r="B83" s="314"/>
      <c r="C83" s="314"/>
      <c r="D83" s="314"/>
      <c r="E83" s="314"/>
      <c r="F83" s="314"/>
      <c r="G83" s="314"/>
      <c r="H83" s="314"/>
      <c r="I83" s="314"/>
      <c r="J83" s="314"/>
      <c r="K83" s="314"/>
      <c r="L83" s="315"/>
    </row>
    <row r="84" spans="1:12" x14ac:dyDescent="0.3">
      <c r="A84" s="313"/>
      <c r="B84" s="314"/>
      <c r="C84" s="314"/>
      <c r="D84" s="314"/>
      <c r="E84" s="314"/>
      <c r="F84" s="314"/>
      <c r="G84" s="314"/>
      <c r="H84" s="314"/>
      <c r="I84" s="314"/>
      <c r="J84" s="314"/>
      <c r="K84" s="314"/>
      <c r="L84" s="315"/>
    </row>
    <row r="85" spans="1:12" ht="15" thickBot="1" x14ac:dyDescent="0.35">
      <c r="A85" s="316"/>
      <c r="B85" s="317"/>
      <c r="C85" s="317"/>
      <c r="D85" s="317"/>
      <c r="E85" s="317"/>
      <c r="F85" s="317"/>
      <c r="G85" s="317"/>
      <c r="H85" s="317"/>
      <c r="I85" s="317"/>
      <c r="J85" s="317"/>
      <c r="K85" s="317"/>
      <c r="L85" s="318"/>
    </row>
  </sheetData>
  <sheetProtection algorithmName="SHA-512" hashValue="VTxDMiKZl0bs0wXnFBrLvZZMjSO2llPx/G1R/EY3TTOWJC6UwsffxkhjHfT3/aUQMpXcXSyEtKz/cCS48MWIig==" saltValue="kHAdzoPWLRQ7A9YeOe2szA==" spinCount="100000" sheet="1" objects="1" scenarios="1"/>
  <mergeCells count="13">
    <mergeCell ref="A6:A10"/>
    <mergeCell ref="A1:B1"/>
    <mergeCell ref="A4:L4"/>
    <mergeCell ref="C22:L22"/>
    <mergeCell ref="C1:G1"/>
    <mergeCell ref="B12:C12"/>
    <mergeCell ref="B13:C13"/>
    <mergeCell ref="A30:L30"/>
    <mergeCell ref="A63:L85"/>
    <mergeCell ref="C32:L32"/>
    <mergeCell ref="C42:L42"/>
    <mergeCell ref="C51:L51"/>
    <mergeCell ref="C60:L60"/>
  </mergeCells>
  <conditionalFormatting sqref="D29">
    <cfRule type="expression" dxfId="425" priority="108">
      <formula>D29="n/a"</formula>
    </cfRule>
    <cfRule type="expression" dxfId="424" priority="109">
      <formula>D29="Yes"</formula>
    </cfRule>
    <cfRule type="expression" dxfId="423" priority="110">
      <formula>D29="No"</formula>
    </cfRule>
  </conditionalFormatting>
  <conditionalFormatting sqref="D20:E20">
    <cfRule type="expression" dxfId="422" priority="100">
      <formula>D20="Yes"</formula>
    </cfRule>
    <cfRule type="expression" dxfId="421" priority="101">
      <formula>D20="No"</formula>
    </cfRule>
  </conditionalFormatting>
  <conditionalFormatting sqref="C20">
    <cfRule type="expression" dxfId="420" priority="91">
      <formula>C20="n/a"</formula>
    </cfRule>
    <cfRule type="expression" dxfId="419" priority="92">
      <formula>C20="Yes"</formula>
    </cfRule>
    <cfRule type="expression" dxfId="418" priority="93">
      <formula>C20="No"</formula>
    </cfRule>
  </conditionalFormatting>
  <conditionalFormatting sqref="C28:C29">
    <cfRule type="expression" dxfId="417" priority="88">
      <formula>C28="n/a"</formula>
    </cfRule>
    <cfRule type="expression" dxfId="416" priority="89">
      <formula>C28="Yes"</formula>
    </cfRule>
    <cfRule type="expression" dxfId="415" priority="90">
      <formula>C28="No"</formula>
    </cfRule>
  </conditionalFormatting>
  <conditionalFormatting sqref="D6:D13">
    <cfRule type="expression" dxfId="414" priority="85">
      <formula>D$11&gt;0</formula>
    </cfRule>
  </conditionalFormatting>
  <conditionalFormatting sqref="E5:L11">
    <cfRule type="expression" dxfId="413" priority="79">
      <formula>E$11=0</formula>
    </cfRule>
    <cfRule type="expression" dxfId="412" priority="81">
      <formula>E$11&gt;0</formula>
    </cfRule>
  </conditionalFormatting>
  <conditionalFormatting sqref="E6:L11">
    <cfRule type="expression" dxfId="411" priority="80">
      <formula>E$11&gt;0</formula>
    </cfRule>
  </conditionalFormatting>
  <conditionalFormatting sqref="E17:E20">
    <cfRule type="expression" dxfId="410" priority="73">
      <formula>E$11&gt;0</formula>
    </cfRule>
    <cfRule type="expression" dxfId="409" priority="78">
      <formula>E$11=0</formula>
    </cfRule>
  </conditionalFormatting>
  <conditionalFormatting sqref="D20">
    <cfRule type="expression" dxfId="408" priority="77">
      <formula>D$11=0</formula>
    </cfRule>
  </conditionalFormatting>
  <conditionalFormatting sqref="D17:D20">
    <cfRule type="expression" dxfId="407" priority="74">
      <formula>D$11=0</formula>
    </cfRule>
    <cfRule type="expression" dxfId="406" priority="76">
      <formula>D$11&gt;0</formula>
    </cfRule>
  </conditionalFormatting>
  <conditionalFormatting sqref="D18:D19">
    <cfRule type="expression" dxfId="405" priority="75">
      <formula>D$11&gt;0</formula>
    </cfRule>
  </conditionalFormatting>
  <conditionalFormatting sqref="E18:E19">
    <cfRule type="expression" dxfId="404" priority="72">
      <formula>E$11&gt;0</formula>
    </cfRule>
  </conditionalFormatting>
  <conditionalFormatting sqref="F20:L20">
    <cfRule type="expression" dxfId="403" priority="70">
      <formula>F20="Yes"</formula>
    </cfRule>
    <cfRule type="expression" dxfId="402" priority="71">
      <formula>F20="No"</formula>
    </cfRule>
  </conditionalFormatting>
  <conditionalFormatting sqref="F17:L20">
    <cfRule type="expression" dxfId="401" priority="68">
      <formula>F$11&gt;0</formula>
    </cfRule>
    <cfRule type="expression" dxfId="400" priority="69">
      <formula>F$11=0</formula>
    </cfRule>
  </conditionalFormatting>
  <conditionalFormatting sqref="F18:L19">
    <cfRule type="expression" dxfId="399" priority="67">
      <formula>F$11&gt;0</formula>
    </cfRule>
  </conditionalFormatting>
  <conditionalFormatting sqref="F28">
    <cfRule type="expression" dxfId="398" priority="65">
      <formula>F28="Yes"</formula>
    </cfRule>
    <cfRule type="expression" dxfId="397" priority="66">
      <formula>F28="No"</formula>
    </cfRule>
  </conditionalFormatting>
  <conditionalFormatting sqref="F25:F26 F28">
    <cfRule type="expression" dxfId="396" priority="63">
      <formula>F$11&gt;0</formula>
    </cfRule>
    <cfRule type="expression" dxfId="395" priority="64">
      <formula>F$11=0</formula>
    </cfRule>
  </conditionalFormatting>
  <conditionalFormatting sqref="F26">
    <cfRule type="expression" dxfId="394" priority="62">
      <formula>F$11&gt;0</formula>
    </cfRule>
  </conditionalFormatting>
  <conditionalFormatting sqref="E28">
    <cfRule type="expression" dxfId="393" priority="60">
      <formula>E28="Yes"</formula>
    </cfRule>
    <cfRule type="expression" dxfId="392" priority="61">
      <formula>E28="No"</formula>
    </cfRule>
  </conditionalFormatting>
  <conditionalFormatting sqref="E25:E26 E28">
    <cfRule type="expression" dxfId="391" priority="58">
      <formula>E$11&gt;0</formula>
    </cfRule>
    <cfRule type="expression" dxfId="390" priority="59">
      <formula>E$11=0</formula>
    </cfRule>
  </conditionalFormatting>
  <conditionalFormatting sqref="E26">
    <cfRule type="expression" dxfId="389" priority="57">
      <formula>E$11&gt;0</formula>
    </cfRule>
  </conditionalFormatting>
  <conditionalFormatting sqref="G28:L28">
    <cfRule type="expression" dxfId="388" priority="55">
      <formula>G28="Yes"</formula>
    </cfRule>
    <cfRule type="expression" dxfId="387" priority="56">
      <formula>G28="No"</formula>
    </cfRule>
  </conditionalFormatting>
  <conditionalFormatting sqref="G25:L26 G28:L28">
    <cfRule type="expression" dxfId="386" priority="53">
      <formula>G$11&gt;0</formula>
    </cfRule>
    <cfRule type="expression" dxfId="385" priority="54">
      <formula>G$11=0</formula>
    </cfRule>
  </conditionalFormatting>
  <conditionalFormatting sqref="G26:L26">
    <cfRule type="expression" dxfId="384" priority="52">
      <formula>G$11&gt;0</formula>
    </cfRule>
  </conditionalFormatting>
  <conditionalFormatting sqref="D35:D40">
    <cfRule type="expression" dxfId="383" priority="10">
      <formula>D$11&gt;0</formula>
    </cfRule>
    <cfRule type="expression" dxfId="382" priority="51">
      <formula>D$11=0</formula>
    </cfRule>
  </conditionalFormatting>
  <conditionalFormatting sqref="D36:D40">
    <cfRule type="expression" dxfId="381" priority="49">
      <formula>D$11&gt;0</formula>
    </cfRule>
  </conditionalFormatting>
  <conditionalFormatting sqref="E35:L36">
    <cfRule type="expression" dxfId="380" priority="47">
      <formula>E$11&gt;0</formula>
    </cfRule>
    <cfRule type="expression" dxfId="379" priority="48">
      <formula>E$11=0</formula>
    </cfRule>
  </conditionalFormatting>
  <conditionalFormatting sqref="E36:L36">
    <cfRule type="expression" dxfId="378" priority="46">
      <formula>E$11&gt;0</formula>
    </cfRule>
  </conditionalFormatting>
  <conditionalFormatting sqref="D45:D49">
    <cfRule type="expression" dxfId="377" priority="44">
      <formula>D$11&gt;0</formula>
    </cfRule>
    <cfRule type="expression" dxfId="376" priority="45">
      <formula>D$11=0</formula>
    </cfRule>
  </conditionalFormatting>
  <conditionalFormatting sqref="D46:D49">
    <cfRule type="expression" dxfId="375" priority="43">
      <formula>D$11&gt;0</formula>
    </cfRule>
  </conditionalFormatting>
  <conditionalFormatting sqref="E45:L49">
    <cfRule type="expression" dxfId="374" priority="41">
      <formula>E$11&gt;0</formula>
    </cfRule>
    <cfRule type="expression" dxfId="373" priority="42">
      <formula>E$11=0</formula>
    </cfRule>
  </conditionalFormatting>
  <conditionalFormatting sqref="E46:L49">
    <cfRule type="expression" dxfId="372" priority="40">
      <formula>E$11&gt;0</formula>
    </cfRule>
  </conditionalFormatting>
  <conditionalFormatting sqref="D54:D58">
    <cfRule type="expression" dxfId="371" priority="38">
      <formula>D$11&gt;0</formula>
    </cfRule>
    <cfRule type="expression" dxfId="370" priority="39">
      <formula>D$11=0</formula>
    </cfRule>
  </conditionalFormatting>
  <conditionalFormatting sqref="D55:D58">
    <cfRule type="expression" dxfId="369" priority="37">
      <formula>D$11&gt;0</formula>
    </cfRule>
  </conditionalFormatting>
  <conditionalFormatting sqref="E54:L54">
    <cfRule type="expression" dxfId="368" priority="35">
      <formula>E$11&gt;0</formula>
    </cfRule>
    <cfRule type="expression" dxfId="367" priority="36">
      <formula>E$11=0</formula>
    </cfRule>
  </conditionalFormatting>
  <conditionalFormatting sqref="E55:L58">
    <cfRule type="expression" dxfId="366" priority="31">
      <formula>E$11&gt;0</formula>
    </cfRule>
  </conditionalFormatting>
  <conditionalFormatting sqref="E55:L58">
    <cfRule type="expression" dxfId="365" priority="32">
      <formula>E$11&gt;0</formula>
    </cfRule>
    <cfRule type="expression" dxfId="364" priority="33">
      <formula>E$11=0</formula>
    </cfRule>
  </conditionalFormatting>
  <conditionalFormatting sqref="E37:L37">
    <cfRule type="expression" dxfId="363" priority="28">
      <formula>E$11&gt;0</formula>
    </cfRule>
  </conditionalFormatting>
  <conditionalFormatting sqref="E37:L37">
    <cfRule type="expression" dxfId="362" priority="29">
      <formula>E$11&gt;0</formula>
    </cfRule>
    <cfRule type="expression" dxfId="361" priority="30">
      <formula>E$11=0</formula>
    </cfRule>
  </conditionalFormatting>
  <conditionalFormatting sqref="E38:E40">
    <cfRule type="expression" dxfId="360" priority="26">
      <formula>E$11&gt;0</formula>
    </cfRule>
    <cfRule type="expression" dxfId="359" priority="27">
      <formula>E$11=0</formula>
    </cfRule>
  </conditionalFormatting>
  <conditionalFormatting sqref="E38:E40">
    <cfRule type="expression" dxfId="358" priority="25">
      <formula>E$11&gt;0</formula>
    </cfRule>
  </conditionalFormatting>
  <conditionalFormatting sqref="F38:F40">
    <cfRule type="expression" dxfId="357" priority="23">
      <formula>F$11&gt;0</formula>
    </cfRule>
    <cfRule type="expression" dxfId="356" priority="24">
      <formula>F$11=0</formula>
    </cfRule>
  </conditionalFormatting>
  <conditionalFormatting sqref="F38:F40">
    <cfRule type="expression" dxfId="355" priority="22">
      <formula>F$11&gt;0</formula>
    </cfRule>
  </conditionalFormatting>
  <conditionalFormatting sqref="G38:L40">
    <cfRule type="expression" dxfId="354" priority="20">
      <formula>G$11&gt;0</formula>
    </cfRule>
    <cfRule type="expression" dxfId="353" priority="21">
      <formula>G$11=0</formula>
    </cfRule>
  </conditionalFormatting>
  <conditionalFormatting sqref="G38:L40">
    <cfRule type="expression" dxfId="352" priority="19">
      <formula>G$11&gt;0</formula>
    </cfRule>
  </conditionalFormatting>
  <conditionalFormatting sqref="D28">
    <cfRule type="expression" dxfId="351" priority="17">
      <formula>D28="Yes"</formula>
    </cfRule>
    <cfRule type="expression" dxfId="350" priority="18">
      <formula>D28="No"</formula>
    </cfRule>
  </conditionalFormatting>
  <conditionalFormatting sqref="D25:D28">
    <cfRule type="expression" dxfId="349" priority="15">
      <formula>D$11&gt;0</formula>
    </cfRule>
    <cfRule type="expression" dxfId="348" priority="16">
      <formula>D$11=0</formula>
    </cfRule>
  </conditionalFormatting>
  <conditionalFormatting sqref="D26:D27">
    <cfRule type="expression" dxfId="347" priority="14">
      <formula>D$11&gt;0</formula>
    </cfRule>
  </conditionalFormatting>
  <conditionalFormatting sqref="E27:L27">
    <cfRule type="expression" dxfId="346" priority="12">
      <formula>E$11&gt;0</formula>
    </cfRule>
    <cfRule type="expression" dxfId="345" priority="13">
      <formula>E$11=0</formula>
    </cfRule>
  </conditionalFormatting>
  <conditionalFormatting sqref="E27:L27">
    <cfRule type="expression" dxfId="344" priority="11">
      <formula>E$11&gt;0</formula>
    </cfRule>
  </conditionalFormatting>
  <conditionalFormatting sqref="D5:D13">
    <cfRule type="expression" dxfId="343" priority="82">
      <formula>D$11=0</formula>
    </cfRule>
    <cfRule type="expression" dxfId="342" priority="86">
      <formula>D$11&gt;0</formula>
    </cfRule>
  </conditionalFormatting>
  <conditionalFormatting sqref="E12:L13">
    <cfRule type="expression" dxfId="341" priority="8">
      <formula>E$11&gt;0</formula>
    </cfRule>
  </conditionalFormatting>
  <conditionalFormatting sqref="E12:L13">
    <cfRule type="expression" dxfId="340" priority="7">
      <formula>E$11=0</formula>
    </cfRule>
    <cfRule type="expression" dxfId="339" priority="9">
      <formula>E$11&gt;0</formula>
    </cfRule>
  </conditionalFormatting>
  <conditionalFormatting sqref="D14">
    <cfRule type="expression" dxfId="338" priority="5">
      <formula>D$11&gt;0</formula>
    </cfRule>
    <cfRule type="expression" dxfId="337" priority="6">
      <formula>D$11=0</formula>
    </cfRule>
  </conditionalFormatting>
  <conditionalFormatting sqref="E14:K14">
    <cfRule type="expression" dxfId="336" priority="3">
      <formula>E$11&gt;0</formula>
    </cfRule>
    <cfRule type="expression" dxfId="335" priority="4">
      <formula>E$11=0</formula>
    </cfRule>
  </conditionalFormatting>
  <conditionalFormatting sqref="L14">
    <cfRule type="expression" dxfId="334" priority="2">
      <formula>$L$12=0</formula>
    </cfRule>
    <cfRule type="expression" dxfId="333" priority="1">
      <formula>$L$11&gt;0</formula>
    </cfRule>
  </conditionalFormatting>
  <pageMargins left="0.5" right="0.5" top="0.75" bottom="0.75" header="0.3" footer="0.3"/>
  <pageSetup orientation="portrait" r:id="rId1"/>
  <headerFooter>
    <oddHeader>&amp;C&amp;"-,Bold"&amp;14Vermont Operational Stormwater Permit - Standards Compliance Workbook</oddHeader>
    <oddFooter>&amp;LLast Updated 11/22/2017&amp;R&amp;A: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5"/>
  <sheetViews>
    <sheetView view="pageLayout" zoomScaleNormal="100" workbookViewId="0">
      <selection activeCell="D108" sqref="D108"/>
    </sheetView>
  </sheetViews>
  <sheetFormatPr defaultRowHeight="14.4" x14ac:dyDescent="0.3"/>
  <cols>
    <col min="1" max="1" width="21.88671875" customWidth="1"/>
    <col min="2" max="6" width="12.21875" customWidth="1"/>
    <col min="7" max="7" width="7.21875" customWidth="1"/>
    <col min="9" max="9" width="8.6640625" customWidth="1"/>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v>1</v>
      </c>
      <c r="E3" s="349"/>
      <c r="F3" s="350"/>
      <c r="G3" s="99"/>
      <c r="H3" s="22"/>
      <c r="I3" s="22"/>
      <c r="J3" s="22"/>
    </row>
    <row r="4" spans="1:15" x14ac:dyDescent="0.3">
      <c r="A4" s="14"/>
      <c r="B4" s="13"/>
      <c r="C4" s="45" t="s">
        <v>31</v>
      </c>
      <c r="D4" s="336" t="s">
        <v>255</v>
      </c>
      <c r="E4" s="337"/>
      <c r="F4" s="338"/>
      <c r="G4" s="99"/>
      <c r="H4" s="22"/>
      <c r="I4" s="22"/>
      <c r="J4" s="22"/>
    </row>
    <row r="5" spans="1:15" x14ac:dyDescent="0.3">
      <c r="A5" s="14"/>
      <c r="B5" s="13"/>
      <c r="C5" s="45" t="s">
        <v>172</v>
      </c>
      <c r="D5" s="339">
        <v>43.000010000000003</v>
      </c>
      <c r="E5" s="339"/>
      <c r="F5" s="339"/>
      <c r="G5" s="99"/>
      <c r="H5" s="22"/>
      <c r="I5" s="22"/>
      <c r="J5" s="22"/>
    </row>
    <row r="6" spans="1:15" ht="15.6" customHeight="1" x14ac:dyDescent="0.3">
      <c r="A6" s="14"/>
      <c r="B6" s="13"/>
      <c r="C6" s="46" t="s">
        <v>177</v>
      </c>
      <c r="D6" s="340">
        <v>-73.000010000000003</v>
      </c>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2.2000000000000002</v>
      </c>
      <c r="D10" s="217">
        <v>3.99</v>
      </c>
      <c r="E10" s="217">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41" t="s">
        <v>2</v>
      </c>
      <c r="C14" s="241" t="s">
        <v>3</v>
      </c>
      <c r="D14" s="241" t="s">
        <v>4</v>
      </c>
      <c r="E14" s="241" t="s">
        <v>5</v>
      </c>
      <c r="F14" s="240"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5.38</v>
      </c>
      <c r="E17" s="215">
        <v>0.98</v>
      </c>
      <c r="F17" s="133">
        <f t="shared" si="0"/>
        <v>6.3599999999999994</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s="180" customFormat="1" ht="13.8" customHeight="1" x14ac:dyDescent="0.3">
      <c r="A19" s="68"/>
      <c r="B19" s="247"/>
      <c r="C19" s="247"/>
      <c r="D19" s="263"/>
      <c r="E19" s="253" t="s">
        <v>249</v>
      </c>
      <c r="F19" s="266">
        <v>0</v>
      </c>
      <c r="G19" s="60"/>
      <c r="H19" s="19"/>
      <c r="I19" s="19"/>
      <c r="J19" s="34"/>
      <c r="K19" s="13"/>
      <c r="L19" s="6"/>
      <c r="M19" s="13"/>
      <c r="N19" s="13"/>
      <c r="O19" s="13"/>
    </row>
    <row r="20" spans="1:15" s="180" customFormat="1" ht="13.8" customHeight="1" x14ac:dyDescent="0.3">
      <c r="A20" s="68"/>
      <c r="B20" s="247"/>
      <c r="C20" s="247"/>
      <c r="D20" s="247"/>
      <c r="E20" s="253" t="s">
        <v>250</v>
      </c>
      <c r="F20" s="264">
        <f>SUM(F15:F19)</f>
        <v>6.3599999999999994</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41" t="s">
        <v>2</v>
      </c>
      <c r="C23" s="241" t="s">
        <v>3</v>
      </c>
      <c r="D23" s="241" t="s">
        <v>4</v>
      </c>
      <c r="E23" s="241" t="s">
        <v>5</v>
      </c>
      <c r="F23" s="240" t="s">
        <v>13</v>
      </c>
      <c r="G23" s="60"/>
      <c r="L23" s="6"/>
      <c r="M23" s="13"/>
      <c r="N23" s="13"/>
      <c r="O23" s="13"/>
    </row>
    <row r="24" spans="1:15" x14ac:dyDescent="0.3">
      <c r="A24" s="111" t="s">
        <v>6</v>
      </c>
      <c r="B24" s="215">
        <v>0</v>
      </c>
      <c r="C24" s="215">
        <v>0</v>
      </c>
      <c r="D24" s="215">
        <v>4.6399999999999997</v>
      </c>
      <c r="E24" s="215">
        <v>0.56999999999999995</v>
      </c>
      <c r="F24" s="133">
        <f>SUM(B24:E24)</f>
        <v>5.21</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s="180" customFormat="1" x14ac:dyDescent="0.3">
      <c r="A27" s="243" t="s">
        <v>243</v>
      </c>
      <c r="B27" s="248">
        <v>0</v>
      </c>
      <c r="C27" s="248">
        <v>0</v>
      </c>
      <c r="D27" s="248">
        <v>0</v>
      </c>
      <c r="E27" s="248">
        <v>1.1499999999999999</v>
      </c>
      <c r="F27" s="249">
        <f>SUM(B27:E27)</f>
        <v>1.1499999999999999</v>
      </c>
      <c r="G27" s="255">
        <f>IF(F32=0,0,F27/$F$32)</f>
        <v>0.1808176100628931</v>
      </c>
      <c r="L27" s="6"/>
      <c r="M27" s="13"/>
      <c r="N27" s="13"/>
      <c r="O27" s="13"/>
    </row>
    <row r="28" spans="1:15" s="180" customFormat="1" ht="43.2" x14ac:dyDescent="0.3">
      <c r="A28" s="246" t="s">
        <v>244</v>
      </c>
      <c r="B28" s="245">
        <v>0</v>
      </c>
      <c r="C28" s="245">
        <v>0</v>
      </c>
      <c r="D28" s="245">
        <v>0</v>
      </c>
      <c r="E28" s="245">
        <v>0</v>
      </c>
      <c r="F28" s="233">
        <f>SUM(B28:E28)</f>
        <v>0</v>
      </c>
      <c r="G28" s="256">
        <f>IF(F32=0,0,F28/$F$32)</f>
        <v>0</v>
      </c>
      <c r="L28" s="6"/>
      <c r="M28" s="13"/>
      <c r="N28" s="13"/>
      <c r="O28" s="13"/>
    </row>
    <row r="29" spans="1:15" s="180" customFormat="1" x14ac:dyDescent="0.3">
      <c r="A29" s="246"/>
      <c r="B29" s="268"/>
      <c r="C29" s="268"/>
      <c r="D29" s="268"/>
      <c r="E29" s="269" t="s">
        <v>247</v>
      </c>
      <c r="F29" s="267">
        <v>0</v>
      </c>
      <c r="G29" s="255">
        <f>IF(F32=0,0,F29/$F$32)</f>
        <v>0</v>
      </c>
      <c r="L29" s="6"/>
      <c r="M29" s="13"/>
      <c r="N29" s="13"/>
      <c r="O29" s="13"/>
    </row>
    <row r="30" spans="1:15" s="180" customFormat="1" x14ac:dyDescent="0.3">
      <c r="A30" s="14"/>
      <c r="B30" s="270"/>
      <c r="C30" s="270"/>
      <c r="D30" s="270"/>
      <c r="E30" s="271" t="s">
        <v>39</v>
      </c>
      <c r="F30" s="267">
        <v>0</v>
      </c>
      <c r="G30" s="255">
        <f>IF(F32=0,0,F30/$F$32)</f>
        <v>0</v>
      </c>
      <c r="H30" s="19"/>
      <c r="I30" s="19"/>
      <c r="J30" s="34"/>
      <c r="K30" s="13"/>
      <c r="L30" s="6"/>
      <c r="M30" s="13"/>
      <c r="N30" s="13"/>
      <c r="O30" s="13"/>
    </row>
    <row r="31" spans="1:15" s="180" customFormat="1"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6.3599999999999994</v>
      </c>
      <c r="G32" s="60"/>
      <c r="H32" s="1"/>
      <c r="I32" s="33"/>
      <c r="J32" s="33"/>
      <c r="K32" s="13"/>
      <c r="L32" s="6"/>
      <c r="M32" s="13"/>
      <c r="N32" s="13"/>
      <c r="O32" s="13"/>
    </row>
    <row r="33" spans="1:15" s="180" customFormat="1" ht="7.2" customHeight="1" x14ac:dyDescent="0.3">
      <c r="A33" s="14"/>
      <c r="B33" s="13"/>
      <c r="C33" s="13"/>
      <c r="D33" s="247"/>
      <c r="E33" s="145"/>
      <c r="F33" s="247"/>
      <c r="G33" s="60"/>
      <c r="H33" s="1"/>
      <c r="I33" s="33"/>
      <c r="J33" s="33"/>
      <c r="K33" s="13"/>
      <c r="L33" s="6"/>
      <c r="M33" s="13"/>
      <c r="N33" s="13"/>
      <c r="O33" s="13"/>
    </row>
    <row r="34" spans="1:15" s="180" customFormat="1" x14ac:dyDescent="0.3">
      <c r="A34" s="14"/>
      <c r="B34" s="13"/>
      <c r="C34" s="13"/>
      <c r="D34" s="247"/>
      <c r="E34" s="252" t="s">
        <v>220</v>
      </c>
      <c r="F34" s="234">
        <f>F31+F30+F28+F27</f>
        <v>1.1499999999999999</v>
      </c>
      <c r="G34" s="60"/>
      <c r="H34" s="1"/>
      <c r="I34" s="33"/>
      <c r="J34" s="33"/>
      <c r="K34" s="13"/>
      <c r="L34" s="6"/>
      <c r="M34" s="13"/>
      <c r="N34" s="13"/>
      <c r="O34" s="13"/>
    </row>
    <row r="35" spans="1:15" s="180" customFormat="1"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s="180" customFormat="1"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s="180" customFormat="1" ht="7.2" customHeight="1" x14ac:dyDescent="0.3">
      <c r="A37" s="14"/>
      <c r="B37" s="13"/>
      <c r="C37" s="13"/>
      <c r="D37" s="247"/>
      <c r="E37" s="250"/>
      <c r="F37" s="19"/>
      <c r="G37" s="60"/>
      <c r="H37" s="1"/>
      <c r="I37" s="33"/>
      <c r="J37" s="33"/>
      <c r="K37" s="13"/>
      <c r="L37" s="6"/>
      <c r="M37" s="13"/>
      <c r="N37" s="13"/>
      <c r="O37" s="13"/>
    </row>
    <row r="38" spans="1:15" s="119" customFormat="1"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1.99</v>
      </c>
      <c r="F40" s="171">
        <v>634</v>
      </c>
      <c r="G40" s="60"/>
      <c r="H40" s="1"/>
      <c r="I40" s="33"/>
      <c r="J40" s="33"/>
      <c r="K40" s="13"/>
      <c r="L40" s="6"/>
      <c r="M40" s="13"/>
      <c r="N40" s="13"/>
      <c r="O40" s="13"/>
    </row>
    <row r="41" spans="1:15" ht="14.4" customHeight="1" x14ac:dyDescent="0.3">
      <c r="A41" s="393"/>
      <c r="B41" s="394"/>
      <c r="C41" s="13"/>
      <c r="D41" s="20" t="s">
        <v>217</v>
      </c>
      <c r="E41" s="197">
        <v>1.66</v>
      </c>
      <c r="F41" s="171">
        <v>634</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1'!$C$10-0.2*Lookup!$B$13)^2/('SN1'!$C$10+0.8*Lookup!$B$13)))*$B$15+IF($C$10&lt;0.2*Lookup!$B$14,0,(('SN1'!$C$10-0.2*Lookup!$B$14)^2/('SN1'!$C$10+0.8*Lookup!$B$14)))*$B$16+IF($C$10&lt;0.2*Lookup!$B$15,0,(('SN1'!$C$10-0.2*Lookup!$B$15)^2/('SN1'!$C$10+0.8*Lookup!$B$15)))*$B$17++IF($C$10&lt;0.2*Lookup!$B$17,0,(('SN1'!$C$10-0.2*Lookup!$B$17)^2/('SN1'!$C$10+0.8*Lookup!$B$17)))*$B$18+IF($C$10&lt;0.2*Lookup!$C$13,0,(('SN1'!$C$10-0.2*Lookup!$C$13)^2/('SN1'!C$10+0.8*Lookup!$C$13)))*$C$15+IF($C$10&lt;0.2*Lookup!$C$14,0,(('SN1'!$C$10-0.2*Lookup!$C$14)^2/('SN1'!$C$10+0.8*Lookup!$C$14)))*$C$16+IF($C$10&lt;0.2*Lookup!$C$15,0,(('SN1'!$C$10-0.2*Lookup!$C$15)^2/('SN1'!$C$10+0.8*Lookup!$C$15)))*$C$17+IF($C$10&lt;0.2*Lookup!$C$17,0,(('SN1'!$C$10-0.2*Lookup!$C$17)^2/('SN1'!$C$10+0.8*Lookup!$C$17)))*$C$18+IF($C$10&lt;0.2*Lookup!$D$13,0,(('SN1'!$C$10-0.2*Lookup!$D$13)^2/('SN1'!$C$10+0.8*Lookup!$D$13)))*$D$15+IF($C$10&lt;0.2*Lookup!$D$14,0,(('SN1'!$C$10-0.2*Lookup!$D$14)^2/('SN1'!$C$10+0.8*Lookup!$D$14)))*$D$16+IF($C$10&lt;0.2*Lookup!$D$15,0,(('SN1'!$C$10-0.2*Lookup!$D$15)^2/('SN1'!$C$10+0.8*Lookup!$D$15)))*$D$17+IF($C$10&lt;0.2*Lookup!$D$17,0,(('SN1'!$C$10-0.2*Lookup!$D$17)^2/('SN1'!$C$10+0.8*Lookup!$D$17)))*$D$18+IF($C$10&lt;0.2*Lookup!$E$13,0,(('SN1'!$C$10-0.2*Lookup!$E$13)^2/('SN1'!$C$10+0.8*Lookup!$E$13)))*$E$15+IF($C$10&lt;0.2*Lookup!$E$14,0,(('SN1'!$C$10-0.2*Lookup!$E$14)^2/('SN1'!$C$10+0.8*Lookup!$E$14)))*$E$16+IF($C$10&lt;0.2*Lookup!$E$15,0,(('SN1'!$C$10-0.2*Lookup!$E$15)^2/('SN1'!$C$10+0.8*Lookup!$E$15)))*$E$17+IF($C$10&lt;0.2*Lookup!$E$17,0,(('SN1'!$C$10-0.2*Lookup!$E$17)^2/('SN1'!$C$10+0.8*Lookup!$E$17)))*$E$18)/12</f>
        <v>0.18933590301082306</v>
      </c>
      <c r="E44" s="257">
        <f>(IF($D$10&lt;0.2*Lookup!$B$13,0,(('SN1'!$D$10-0.2*Lookup!$B$13)^2/('SN1'!$D$10+0.8*Lookup!$B$13)))*$B$15+IF($D$10&lt;0.2*Lookup!$B$14,0,(('SN1'!$D$10-0.2*Lookup!$B$14)^2/('SN1'!$D$10+0.8*Lookup!$B$14)))*$B$16+IF($D$10&lt;0.2*Lookup!$B$15,0,(('SN1'!$D$10-0.2*Lookup!$B$15)^2/('SN1'!$D$10+0.8*Lookup!$B$15)))*$B$17++IF($D$10&lt;0.2*Lookup!$B$17,0,(('SN1'!$D$10-0.2*Lookup!$B$17)^2/('SN1'!$D$10+0.8*Lookup!$B$17)))*$B$18+IF($D$10&lt;0.2*Lookup!$C$13,0,(('SN1'!$D$10-0.2*Lookup!$C$13)^2/('SN1'!C$10+0.8*Lookup!$C$13)))*$C$15+IF($D$10&lt;0.2*Lookup!$C$14,0,(('SN1'!$D$10-0.2*Lookup!$C$14)^2/('SN1'!$D$10+0.8*Lookup!$C$14)))*$C$16+IF($D$10&lt;0.2*Lookup!$C$15,0,(('SN1'!$D$10-0.2*Lookup!$C$15)^2/('SN1'!$D$10+0.8*Lookup!$C$15)))*$C$17+IF($D$10&lt;0.2*Lookup!$C$17,0,(('SN1'!$D$10-0.2*Lookup!$C$17)^2/('SN1'!$D$10+0.8*Lookup!$C$17)))*$C$18+IF($D$10&lt;0.2*Lookup!$D$13,0,(('SN1'!$D$10-0.2*Lookup!$D$13)^2/('SN1'!$D$10+0.8*Lookup!$D$13)))*$D$15+IF($D$10&lt;0.2*Lookup!$D$14,0,(('SN1'!$D$10-0.2*Lookup!$D$14)^2/('SN1'!$D$10+0.8*Lookup!$D$14)))*$D$16+IF($D$10&lt;0.2*Lookup!$D$15,0,(('SN1'!$D$10-0.2*Lookup!$D$15)^2/('SN1'!$D$10+0.8*Lookup!$D$15)))*$D$17+IF($D$10&lt;0.2*Lookup!$D$17,0,(('SN1'!$D$10-0.2*Lookup!$D$17)^2/('SN1'!$D$10+0.8*Lookup!$D$17)))*$D$18+IF($D$10&lt;0.2*Lookup!$E$13,0,(('SN1'!$D$10-0.2*Lookup!$E$13)^2/('SN1'!$D$10+0.8*Lookup!$E$13)))*$E$15+IF($D$10&lt;0.2*Lookup!$E$14,0,(('SN1'!$D$10-0.2*Lookup!$E$14)^2/('SN1'!$D$10+0.8*Lookup!$E$14)))*$E$16+IF($D$10&lt;0.2*Lookup!$E$15,0,(('SN1'!$D$10-0.2*Lookup!$E$15)^2/('SN1'!$D$10+0.8*Lookup!$E$15)))*$E$17++IF($D$10&lt;0.2*Lookup!$E$17,0,(('SN1'!$D$10-0.2*Lookup!$E$17)^2/('SN1'!$D$10+0.8*Lookup!$E$17)))*$E$18)/12</f>
        <v>0.7404846306739894</v>
      </c>
      <c r="F44" s="257">
        <f>(IF($E$10&lt;0.2*Lookup!$B$13,0,(('SN1'!$E$10-0.2*Lookup!$B$13)^2/('SN1'!$E$10+0.8*Lookup!$B$13)))*$B$15+IF($E$10&lt;0.2*Lookup!$B$14,0,(('SN1'!$E$10-0.2*Lookup!$B$14)^2/('SN1'!$E$10+0.8*Lookup!$B$14)))*$B$16+IF($E$10&lt;0.2*Lookup!$B$15,0,(('SN1'!$E$10-0.2*Lookup!$B$15)^2/('SN1'!$E$10+0.8*Lookup!$B$15)))*$B$17++IF($E$10&lt;0.2*Lookup!$B$17,0,(('SN1'!$E$10-0.2*Lookup!$B$17)^2/('SN1'!$E$10+0.8*Lookup!$B$17)))*$B$18+IF($E$10&lt;0.2*Lookup!$C$13,0,(('SN1'!$E$10-0.2*Lookup!$C$13)^2/('SN1'!C$10+0.8*Lookup!$C$13)))*$C$15+IF($E$10&lt;0.2*Lookup!$C$14,0,(('SN1'!$E$10-0.2*Lookup!$C$14)^2/('SN1'!$E$10+0.8*Lookup!$C$14)))*$C$16+IF($E$10&lt;0.2*Lookup!$C$15,0,(('SN1'!$E$10-0.2*Lookup!$C$15)^2/('SN1'!$E$10+0.8*Lookup!$C$15)))*$C$17+IF($E$10&lt;0.2*Lookup!$C$17,0,(('SN1'!$E$10-0.2*Lookup!$C$17)^2/('SN1'!$E$10+0.8*Lookup!$C$17)))*$C$18+IF($E$10&lt;0.2*Lookup!$D$13,0,(('SN1'!$E$10-0.2*Lookup!$D$13)^2/('SN1'!$E$10+0.8*Lookup!$D$13)))*$D$15+IF($E$10&lt;0.2*Lookup!$D$14,0,(('SN1'!$E$10-0.2*Lookup!$D$14)^2/('SN1'!$E$10+0.8*Lookup!$D$14)))*$D$16+IF($E$10&lt;0.2*Lookup!$D$15,0,(('SN1'!$E$10-0.2*Lookup!$D$15)^2/('SN1'!$E$10+0.8*Lookup!$D$15)))*$D$17+IF($E$10&lt;0.2*Lookup!$D$17,0,(('SN1'!$E$10-0.2*Lookup!$D$17)^2/('SN1'!$E$10+0.8*Lookup!$D$17)))*$D$18+IF($E$10&lt;0.2*Lookup!$E$13,0,(('SN1'!$E$10-0.2*Lookup!$E$13)^2/('SN1'!$E$10+0.8*Lookup!$E$13)))*$E$15+IF($E$10&lt;0.2*Lookup!$E$14,0,(('SN1'!$E$10-0.2*Lookup!$E$14)^2/('SN1'!$E$10+0.8*Lookup!$E$14)))*$E$16+IF($E$10&lt;0.2*Lookup!$E$15,0,(('SN1'!$E$10-0.2*Lookup!$E$15)^2/('SN1'!$E$10+0.8*Lookup!$E$15)))*$E$17++IF($E$10&lt;0.2*Lookup!$E$17,0,(('SN1'!$E$10-0.2*Lookup!$E$17)^2/('SN1'!$E$10+0.8*Lookup!$E$17)))*$E$18)/12</f>
        <v>1.588890651427765</v>
      </c>
      <c r="G44" s="60"/>
      <c r="K44" s="13"/>
      <c r="L44" s="6"/>
      <c r="M44" s="13"/>
      <c r="N44" s="13"/>
      <c r="O44" s="13"/>
    </row>
    <row r="45" spans="1:15" ht="14.4" customHeight="1" x14ac:dyDescent="0.3">
      <c r="A45" s="383" t="s">
        <v>113</v>
      </c>
      <c r="B45" s="369"/>
      <c r="C45" s="384"/>
      <c r="D45" s="257">
        <f>(IF($C$10&lt;0.2*Lookup!$B$13,0,(('SN1'!$C$10-0.2*Lookup!$B$13)^2/('SN1'!$C$10+0.8*Lookup!$B$13)))*$B$24+IF($C$10&lt;0.2*Lookup!$B$14,0,(('SN1'!$C$10-0.2*Lookup!$B$14)^2/('SN1'!$C$10+0.8*Lookup!$B$14)))*$B$25+IF($C$10&lt;0.2*Lookup!$B$15,0,(('SN1'!$C$10-0.2*Lookup!$B$15)^2/('SN1'!$C$10+0.8*Lookup!$B$15)))*$B$26+IF($C$10&lt;0.2*Lookup!$C$13,0,(('SN1'!$C$10-0.2*Lookup!$C$13)^2/('SN1'!C$10+0.8*Lookup!$C$13)))*$C$24+IF($C$10&lt;0.2*Lookup!$C$14,0,(('SN1'!$C$10-0.2*Lookup!$C$14)^2/('SN1'!$C$10+0.8*Lookup!$C$14)))*$C$25+IF($C$10&lt;0.2*Lookup!$C$15,0,(('SN1'!$C$10-0.2*Lookup!$C$15)^2/('SN1'!$C$10+0.8*Lookup!$C$15)))*$C$26+IF($C$10&lt;0.2*Lookup!$D$13,0,(('SN1'!$C$10-0.2*Lookup!$D$13)^2/('SN1'!$C$10+0.8*Lookup!$D$13)))*$D$24+IF($C$10&lt;0.2*Lookup!$D$14,0,(('SN1'!$C$10-0.2*Lookup!$D$14)^2/('SN1'!$C$10+0.8*Lookup!$D$14)))*$D$25+IF($C$10&lt;0.2*Lookup!$D$15,0,(('SN1'!$C$10-0.2*Lookup!$D$15)^2/('SN1'!$C$10+0.8*Lookup!$D$15)))*$D$26+IF($C$10&lt;0.2*Lookup!$E$13,0,(('SN1'!$C$10-0.2*Lookup!$E$13)^2/('SN1'!$C$10+0.8*Lookup!$E$13)))*$E$24+IF($C$10&lt;0.2*Lookup!$E$14,0,(('SN1'!$C$10-0.2*Lookup!$E$14)^2/('SN1'!$C$10+0.8*Lookup!$E$14)))*$E$25+IF($C$10&lt;0.2*Lookup!$E$15,0,(('SN1'!$C$10-0.2*Lookup!$E$15)^2/('SN1'!$C$10+0.8*Lookup!$E$15)))*$E$26+(($C$10-0.2*Lookup!B17)^2/($C$10+0.8*Lookup!B17)*(F27+F28+F29+F30)))/12</f>
        <v>0.39473688549517033</v>
      </c>
      <c r="E45" s="257">
        <f>(IF($D$10&lt;0.2*Lookup!$B$13,0,(('SN1'!$D$10-0.2*Lookup!$B$13)^2/('SN1'!$D$10+0.8*Lookup!$B$13)))*$B$24+IF($D$10&lt;0.2*Lookup!$B$14,0,(('SN1'!$D$10-0.2*Lookup!$B$14)^2/('SN1'!$D$10+0.8*Lookup!$B$14)))*$B$25+IF($D$10&lt;0.2*Lookup!$B$15,0,(('SN1'!$D$10-0.2*Lookup!$B$15)^2/('SN1'!$D$10+0.8*Lookup!$B$15)))*$B$26+IF($D$10&lt;0.2*Lookup!$C$13,0,(('SN1'!$D$10-0.2*Lookup!$C$13)^2/('SN1'!C$10+0.8*Lookup!$C$13)))*$C$24+IF($D$10&lt;0.2*Lookup!$C$14,0,(('SN1'!$D$10-0.2*Lookup!$C$14)^2/('SN1'!$D$10+0.8*Lookup!$C$14)))*$C$25+IF($D$10&lt;0.2*Lookup!$C$15,0,(('SN1'!$D$10-0.2*Lookup!$C$15)^2/('SN1'!$D$10+0.8*Lookup!$C$15)))*$C$26+IF($D$10&lt;0.2*Lookup!$D$13,0,(('SN1'!$D$10-0.2*Lookup!$D$13)^2/('SN1'!$D$10+0.8*Lookup!$D$13)))*$D$24+IF($D$10&lt;0.2*Lookup!$D$14,0,(('SN1'!$D$10-0.2*Lookup!$D$14)^2/('SN1'!$D$10+0.8*Lookup!$D$14)))*$D$25+IF($D$10&lt;0.2*Lookup!$D$15,0,(('SN1'!$D$10-0.2*Lookup!$D$15)^2/('SN1'!$D$10+0.8*Lookup!$D$15)))*$D$26+IF($D$10&lt;0.2*Lookup!$E$13,0,(('SN1'!$D$10-0.2*Lookup!$E$13)^2/('SN1'!$D$10+0.8*Lookup!$E$13)))*$E$24+IF($D$10&lt;0.2*Lookup!$E$14,0,(('SN1'!$D$10-0.2*Lookup!$E$14)^2/('SN1'!$D$10+0.8*Lookup!$E$14)))*$E$25+IF($D$10&lt;0.2*Lookup!$E$15,0,(('SN1'!$D$10-0.2*Lookup!$E$15)^2/('SN1'!$D$10+0.8*Lookup!$E$15)))*$E$26+(($D$10-0.2*Lookup!B17)^2/($D$10+0.8*Lookup!B17)*(F27+F28+F29+F30)))/12</f>
        <v>1.0708573672232748</v>
      </c>
      <c r="F45" s="257">
        <f>(IF($E$10&lt;0.2*Lookup!$B$13,0,(('SN1'!$E$10-0.2*Lookup!$B$13)^2/('SN1'!$E$10+0.8*Lookup!$B$13)))*$B$24+IF($E$10&lt;0.2*Lookup!$B$14,0,(('SN1'!$E$10-0.2*Lookup!$B$14)^2/('SN1'!$E$10+0.8*Lookup!$B$14)))*$B$25+IF($E$10&lt;0.2*Lookup!$B$15,0,(('SN1'!$E$10-0.2*Lookup!$B$15)^2/('SN1'!$E$10+0.8*Lookup!$B$15)))*$B$26+IF($E$10&lt;0.2*Lookup!$C$13,0,(('SN1'!$E$10-0.2*Lookup!$C$13)^2/('SN1'!C$10+0.8*Lookup!$C$13)))*$C$24+IF($E$10&lt;0.2*Lookup!$C$14,0,(('SN1'!$E$10-0.2*Lookup!$C$14)^2/('SN1'!$E$10+0.8*Lookup!$C$14)))*$C$25+IF($E$10&lt;0.2*Lookup!$C$15,0,(('SN1'!$E$10-0.2*Lookup!$C$15)^2/('SN1'!$E$10+0.8*Lookup!$C$15)))*$C$26+IF($E$10&lt;0.2*Lookup!$D$13,0,(('SN1'!$E$10-0.2*Lookup!$D$13)^2/('SN1'!$E$10+0.8*Lookup!$D$13)))*$D$24+IF($E$10&lt;0.2*Lookup!$D$14,0,(('SN1'!$E$10-0.2*Lookup!$D$14)^2/('SN1'!$E$10+0.8*Lookup!$D$14)))*$D$25+IF($E$10&lt;0.2*Lookup!$D$15,0,(('SN1'!$E$10-0.2*Lookup!$D$15)^2/('SN1'!$E$10+0.8*Lookup!$D$15)))*$D$26+IF($E$10&lt;0.2*Lookup!$E$13,0,(('SN1'!$E$10-0.2*Lookup!$E$13)^2/('SN1'!$E$10+0.8*Lookup!$E$13)))*$E$24+IF($E$10&lt;0.2*Lookup!$E$14,0,(('SN1'!$E$10-0.2*Lookup!$E$14)^2/('SN1'!$E$10+0.8*Lookup!$E$14)))*$E$25+IF($E$10&lt;0.2*Lookup!$E$15,0,(('SN1'!$E$10-0.2*Lookup!$E$15)^2/('SN1'!$E$10+0.8*Lookup!$E$15)))*$E$26+(($E$10-0.2*Lookup!B17)^2/($E$10+0.8*Lookup!B17)*(F27+F28+F29+F30)))/12</f>
        <v>2.0143788724401657</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s="104" customFormat="1"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t="s">
        <v>65</v>
      </c>
      <c r="B50" s="172">
        <v>1.7999999999999999E-2</v>
      </c>
      <c r="C50" s="385"/>
      <c r="D50" s="386"/>
      <c r="E50" s="173"/>
      <c r="F50" s="13"/>
      <c r="G50" s="60"/>
      <c r="I50" s="113"/>
      <c r="J50" s="113"/>
      <c r="K50" s="113"/>
      <c r="L50" s="6"/>
      <c r="M50" s="13"/>
      <c r="N50" s="13"/>
      <c r="O50" s="13"/>
    </row>
    <row r="51" spans="1:15" x14ac:dyDescent="0.3">
      <c r="A51" s="194" t="s">
        <v>212</v>
      </c>
      <c r="B51" s="172">
        <v>0.19</v>
      </c>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0.11275000000000002</v>
      </c>
      <c r="D58" s="258">
        <f>D45-D44+(C10-0.2*Lookup!$B$17)^2/(C10+0.8*Lookup!$B$17)*$F$28/12-IF(C10-0.2*Lookup!$B$15&lt;0,0,(C10-0.2*Lookup!$B$15)^2/(C10+0.8*Lookup!$B$15))*$B$28/12-IF(C10-0.2*Lookup!$C$15&lt;0,0,(C10-0.2*Lookup!$C$15)^2/(C10+0.8*Lookup!$C$15))*$C$28/12-IF(C10-0.2*Lookup!$D$15&lt;0,0,(C10-0.2*Lookup!$D$15)^2/(C10+0.8*Lookup!$D$15))*$D$28/12-IF(C10-0.2*Lookup!$E$15&lt;0,0,(C10-0.2*Lookup!$E$15)^2/(C10+0.8*Lookup!$E$15)*$E$28)/12</f>
        <v>0.20540098248434727</v>
      </c>
      <c r="E58" s="258">
        <f>E45-E44+(D10-0.2*Lookup!$B$17)^2/(D10+0.8*Lookup!$B$17)*$F$28/12-IF(D10-0.2*Lookup!$B$15&lt;0,0,(D10-0.2*Lookup!$B$15)^2/(D10+0.8*Lookup!$B$15))*$B$28/12-IF(D10-0.2*Lookup!$C$15&lt;0,0,(D10-0.2*Lookup!$C$15)^2/(D10+0.8*Lookup!$C$15))*$C$28/12-IF(D10-0.2*Lookup!$D$15&lt;0,0,(D10-0.2*Lookup!$D$15)^2/(D10+0.8*Lookup!$D$15))*$D$28/12-IF(D10-0.2*Lookup!$E$15&lt;0,0,(D10-0.2*Lookup!$E$15)^2/(D10+0.8*Lookup!$E$15)*$E$28)/12</f>
        <v>0.33037273654928545</v>
      </c>
      <c r="F58" s="258">
        <f>F45-F44+(E10-0.2*Lookup!$B$17)^2/(E10+0.8*Lookup!$B$17)*$F$28/12-IF(E10-0.2*Lookup!$B$15&lt;0,0,(E10-0.2*Lookup!$B$15)^2/(E10+0.8*Lookup!$B$15))*$B$28/12-IF(E10-0.2*Lookup!$C$15&lt;0,0,(E10-0.2*Lookup!$C$15)^2/(E10+0.8*Lookup!$C$15))*$C$28/12-IF(E10-0.2*Lookup!$D$15&lt;0,0,(E10-0.2*Lookup!$D$15)^2/(E10+0.8*Lookup!$D$15))*$D$28/12-IF(E10-0.2*Lookup!$E$15&lt;0,0,(E10-0.2*Lookup!$E$15)^2/(E10+0.8*Lookup!$E$15)*$E$28)/12</f>
        <v>0.42548822101240069</v>
      </c>
      <c r="G58" s="60"/>
      <c r="K58" s="13"/>
      <c r="L58" s="13"/>
      <c r="M58" s="13"/>
      <c r="N58" s="13"/>
      <c r="O58" s="13"/>
    </row>
    <row r="59" spans="1:15" ht="15.6" x14ac:dyDescent="0.3">
      <c r="A59" s="61" t="s">
        <v>72</v>
      </c>
      <c r="B59" s="260">
        <f ca="1">SUM($B$50:$B$54,$E$50:$E$54)-(SUMIF(A50:A54,"Green Roofs",B50:B54)+SUMIF(C50:D54,"Green Roofs",E50:E54))</f>
        <v>0.20799999999999999</v>
      </c>
      <c r="C59" s="260">
        <f ca="1">SUM($B$50:$B$54,$E$50:$E$54)-(SUMIF(A50:A54,"Green Roofs",B50:B54)+SUMIF(C50:D54,"Green Roofs",E50:E54))</f>
        <v>0.20799999999999999</v>
      </c>
      <c r="D59" s="260">
        <f>SUM($B$50:$B$54,$E$50:$E$54)</f>
        <v>0.20799999999999999</v>
      </c>
      <c r="E59" s="260">
        <f t="shared" ref="E59:F59" si="1">SUM($B$50:$B$54,$E$50:$E$54)</f>
        <v>0.20799999999999999</v>
      </c>
      <c r="F59" s="260">
        <f t="shared" si="1"/>
        <v>0.20799999999999999</v>
      </c>
      <c r="G59" s="60"/>
      <c r="H59" s="18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0.12237273654928546</v>
      </c>
      <c r="F60" s="260">
        <f>IF((F58-F59)&gt;0,F58-F59,0)</f>
        <v>0.2174882210124007</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86.587282166551503</v>
      </c>
      <c r="D63" s="28">
        <f>IF(F32=0,"n/a",200/((2+C10+D45*(24/F32))-(5*C10*D45*(12/F32)+4*(D45*(12/F32))^2)^(1/2)))</f>
        <v>81.205394501183406</v>
      </c>
      <c r="E63" s="28">
        <f>IF(F32=0,"n/a",200/((2+D10+E45*(24/F32))-(5*D10*E45*(12/F32)+4*(E45*(12/F32))^2)^(1/2)))</f>
        <v>79.835858958133699</v>
      </c>
      <c r="F63" s="28">
        <f>IF(F32=0,"n/a",200/((2+E10+F45*(24/F32))-(5*E10*F45*(12/F32)+4*(F45*(12/F32))^2)^(1/2)))</f>
        <v>79.221772998772167</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71.081281250741299</v>
      </c>
      <c r="E64" s="26">
        <f ca="1">IF(F32=0,"n/a",IF(E59&gt;E45,0,200/(2+D10+((E45-$B$59)*24/F32)-SQRT(5*D10*(E45-$B$59)*12/F32+4*((E45-$B$59)*12/F32)^2))))</f>
        <v>74.559060518625714</v>
      </c>
      <c r="F64" s="26">
        <f ca="1">IF(F32=0,"n/a",IF(F59&gt;F45,0,200/(2+E10+((F45-$B$59)*24/F32)-SQRT(5*E10*(F45-$B$59)*12/F32+4*((F45-$B$59)*12/F32)^2))))</f>
        <v>75.326217324556538</v>
      </c>
      <c r="G64" s="60"/>
      <c r="K64" s="24"/>
      <c r="L64" s="6"/>
      <c r="M64" s="13"/>
      <c r="N64" s="13"/>
      <c r="O64" s="13"/>
    </row>
    <row r="65" spans="1:15" ht="15.6" x14ac:dyDescent="0.3">
      <c r="A65" s="112" t="s">
        <v>36</v>
      </c>
      <c r="B65" s="82" t="s">
        <v>34</v>
      </c>
      <c r="C65" s="83" t="s">
        <v>34</v>
      </c>
      <c r="D65" s="84">
        <f>IF(F20-F19=0,"n/a",200/(C10+2*D44*12/(F20-F19)+2-SQRT(5*C10*D44*12/(F20-F19)+4*(D44*12/(F20-F19))^2)))</f>
        <v>71.242234027870779</v>
      </c>
      <c r="E65" s="84">
        <f>IF((F20-F19)=0,"n/a",200/(D10+2*E44*12/(F20-F19)+2-SQRT(5*D10*E44*12/(F20-F19)+4*(E44*12/(F20-F19))^2)))</f>
        <v>71.15091250911307</v>
      </c>
      <c r="F65" s="84">
        <f>IF((F20-F19)=0,"n/a",200/(E10+2*F44*12/(F20-F19)+2-SQRT(5*E10*F44*12/(F20-F19)+4*(F44*12/(F20-F19))^2)))</f>
        <v>71.107643555876081</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2</v>
      </c>
      <c r="G67" s="58"/>
      <c r="K67" s="24"/>
      <c r="L67" s="6"/>
      <c r="M67" s="13"/>
      <c r="N67" s="13"/>
      <c r="O67" s="13"/>
    </row>
    <row r="68" spans="1:15" ht="30.6" customHeight="1" x14ac:dyDescent="0.3">
      <c r="A68" s="59" t="s">
        <v>77</v>
      </c>
      <c r="B68" s="174"/>
      <c r="C68" s="369" t="str">
        <f>IF(F67=1,"","Reason recharge not required (if No is selected):")</f>
        <v>Reason recharge not required (if No is selected):</v>
      </c>
      <c r="D68" s="369"/>
      <c r="E68" s="370" t="s">
        <v>79</v>
      </c>
      <c r="F68" s="370"/>
      <c r="G68" s="60"/>
      <c r="K68" s="24"/>
      <c r="L68" s="6"/>
      <c r="M68" s="13"/>
      <c r="N68" s="13"/>
      <c r="O68" s="13"/>
    </row>
    <row r="69" spans="1:15" ht="15.6" x14ac:dyDescent="0.3">
      <c r="A69" s="59" t="s">
        <v>117</v>
      </c>
      <c r="B69" s="257">
        <f>((B27+B28)*Lookup!B21+(C27+C28)*Lookup!C21+(D27+D28)*Lookup!D21+(E27+E28)*Lookup!E21*(F27+F28))/12</f>
        <v>0</v>
      </c>
      <c r="C69" s="120"/>
      <c r="D69" s="120"/>
      <c r="E69" s="122"/>
      <c r="F69" s="122"/>
      <c r="G69" s="60"/>
      <c r="K69" s="24"/>
      <c r="L69" s="6"/>
      <c r="M69" s="13"/>
      <c r="N69" s="13"/>
      <c r="O69" s="13"/>
    </row>
    <row r="70" spans="1:15" ht="42.6" customHeight="1" x14ac:dyDescent="0.3">
      <c r="A70" s="69"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s="180" customFormat="1"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s="180" customFormat="1"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0.11275000000000002</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0.11275000000000002</v>
      </c>
      <c r="C77" s="408" t="str">
        <f>IF(E73+F73=4,"ERROR! Net Reduction and Redevelopment cannot both apply","")</f>
        <v/>
      </c>
      <c r="D77" s="409"/>
      <c r="E77" s="409"/>
      <c r="F77" s="409"/>
      <c r="G77" s="410"/>
      <c r="K77" s="24"/>
      <c r="L77" s="13"/>
      <c r="M77" s="13"/>
      <c r="N77" s="13"/>
      <c r="O77" s="13"/>
    </row>
    <row r="78" spans="1:15" ht="30" x14ac:dyDescent="0.3">
      <c r="A78" s="220" t="s">
        <v>204</v>
      </c>
      <c r="B78" s="295">
        <f ca="1">IF(C59&gt;C58,C58,C59)</f>
        <v>0.11275000000000002</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s="104" customFormat="1" ht="10.8" customHeight="1" x14ac:dyDescent="0.3">
      <c r="A80" s="220"/>
      <c r="B80" s="13"/>
      <c r="C80" s="63"/>
      <c r="D80" s="13"/>
      <c r="E80" s="13"/>
      <c r="F80" s="13"/>
      <c r="G80" s="60"/>
      <c r="K80" s="13"/>
      <c r="L80" s="6"/>
      <c r="M80" s="13"/>
      <c r="N80" s="13"/>
      <c r="O80" s="13"/>
    </row>
    <row r="81" spans="1:15" s="104" customFormat="1" ht="28.8" customHeight="1" x14ac:dyDescent="0.3">
      <c r="A81" s="387" t="str">
        <f>IF(B82="","","NOTE: Please include a copy of the appropriate STP worksheet(s) with the application.")</f>
        <v/>
      </c>
      <c r="B81" s="375" t="s">
        <v>160</v>
      </c>
      <c r="C81" s="376"/>
      <c r="D81" s="377"/>
      <c r="E81" s="218" t="s">
        <v>147</v>
      </c>
      <c r="F81" s="219" t="s">
        <v>138</v>
      </c>
      <c r="G81" s="60"/>
      <c r="K81" s="13"/>
      <c r="L81" s="6"/>
      <c r="M81" s="13"/>
      <c r="N81" s="13"/>
      <c r="O81" s="13"/>
    </row>
    <row r="82" spans="1:15" x14ac:dyDescent="0.3">
      <c r="A82" s="387"/>
      <c r="B82" s="374"/>
      <c r="C82" s="374"/>
      <c r="D82" s="374"/>
      <c r="E82" s="297"/>
      <c r="F82" s="108" t="str">
        <f>IF(B82="","",VLOOKUP(B82,Lookup!$H$13:$I$19,2,FALSE))</f>
        <v/>
      </c>
      <c r="G82" s="60"/>
    </row>
    <row r="83" spans="1:15" s="104" customFormat="1" x14ac:dyDescent="0.3">
      <c r="A83" s="387"/>
      <c r="B83" s="374"/>
      <c r="C83" s="374"/>
      <c r="D83" s="374"/>
      <c r="E83" s="297"/>
      <c r="F83" s="108" t="str">
        <f>IF(B83="","",VLOOKUP(B83,Lookup!$H$13:$I$19,2,FALSE))</f>
        <v/>
      </c>
      <c r="G83" s="60"/>
    </row>
    <row r="84" spans="1:15" s="114" customFormat="1" x14ac:dyDescent="0.3">
      <c r="A84" s="387"/>
      <c r="B84" s="374"/>
      <c r="C84" s="374"/>
      <c r="D84" s="374"/>
      <c r="E84" s="297"/>
      <c r="F84" s="108" t="str">
        <f>IF(B84="","",VLOOKUP(B84,Lookup!$H$13:$I$19,2,FALSE))</f>
        <v/>
      </c>
      <c r="G84" s="60"/>
    </row>
    <row r="85" spans="1:15" s="114" customFormat="1" ht="15.6" x14ac:dyDescent="0.35">
      <c r="A85" s="118"/>
      <c r="B85" s="19"/>
      <c r="C85" s="19"/>
      <c r="D85" s="1" t="s">
        <v>153</v>
      </c>
      <c r="E85" s="296">
        <f>SUM(E82:E84)</f>
        <v>0</v>
      </c>
      <c r="F85" s="13" t="s">
        <v>90</v>
      </c>
      <c r="G85" s="60"/>
    </row>
    <row r="86" spans="1:15" s="114" customFormat="1"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103"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s="107" customFormat="1" ht="14.4" customHeight="1" x14ac:dyDescent="0.3">
      <c r="A95" s="411"/>
      <c r="B95" s="412"/>
      <c r="C95" s="412"/>
      <c r="D95" s="13"/>
      <c r="E95" s="421" t="s">
        <v>182</v>
      </c>
      <c r="F95" s="421"/>
      <c r="G95" s="422"/>
    </row>
    <row r="96" spans="1:15" s="107" customFormat="1" x14ac:dyDescent="0.3">
      <c r="A96" s="115"/>
      <c r="B96" s="116"/>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f ca="1">D64</f>
        <v>71.081281250741299</v>
      </c>
      <c r="C100" s="358" t="s">
        <v>223</v>
      </c>
      <c r="D100" s="359"/>
      <c r="E100" s="129">
        <f ca="1">IF(E41=0,0,(F41^0.8)*(((1000/IF(B100&gt;95,95,IF(B100&lt;50,50,B100)))-9)^0.7)/(1140*E41^0.5)*60)</f>
        <v>22.195936091957734</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No</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8"/>
      <c r="E104" s="398"/>
      <c r="F104" s="398"/>
      <c r="G104" s="399"/>
    </row>
    <row r="105" spans="1:7" x14ac:dyDescent="0.3">
      <c r="A105" s="68" t="s">
        <v>104</v>
      </c>
      <c r="B105" s="419" t="s">
        <v>256</v>
      </c>
      <c r="C105" s="419"/>
      <c r="D105" s="419"/>
      <c r="E105" s="419"/>
      <c r="F105" s="419"/>
      <c r="G105" s="60"/>
    </row>
    <row r="106" spans="1:7" x14ac:dyDescent="0.3">
      <c r="A106" s="14"/>
      <c r="B106" s="13"/>
      <c r="C106" s="20" t="s">
        <v>105</v>
      </c>
      <c r="D106" s="175">
        <v>9.3800000000000008</v>
      </c>
      <c r="E106" s="13"/>
      <c r="F106" s="13"/>
      <c r="G106" s="60"/>
    </row>
    <row r="107" spans="1:7" x14ac:dyDescent="0.3">
      <c r="A107" s="14"/>
      <c r="B107" s="13"/>
      <c r="C107" s="20" t="s">
        <v>107</v>
      </c>
      <c r="D107" s="175">
        <v>11.45</v>
      </c>
      <c r="E107" s="13"/>
      <c r="F107" s="13"/>
      <c r="G107" s="60"/>
    </row>
    <row r="108" spans="1:7" x14ac:dyDescent="0.3">
      <c r="A108" s="14"/>
      <c r="B108" s="13"/>
      <c r="C108" s="20" t="s">
        <v>106</v>
      </c>
      <c r="D108" s="175">
        <v>3.88</v>
      </c>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s="180" customFormat="1" ht="28.8" customHeight="1" x14ac:dyDescent="0.3">
      <c r="A111" s="193" t="s">
        <v>224</v>
      </c>
      <c r="B111" s="71">
        <f>E65</f>
        <v>71.15091250911307</v>
      </c>
      <c r="C111" s="360" t="s">
        <v>225</v>
      </c>
      <c r="D111" s="361"/>
      <c r="E111" s="72">
        <f>IF(E40=0,0,(F40^0.8)*(((1000/IF(B111&gt;95,95,IF(B111&lt;50,50,B111)))-9)^0.7)/(1140*E40^0.5)*60)</f>
        <v>20.233640916435949</v>
      </c>
      <c r="F111" s="413" t="s">
        <v>102</v>
      </c>
      <c r="G111" s="189"/>
    </row>
    <row r="112" spans="1:7" ht="28.8" customHeight="1" x14ac:dyDescent="0.3">
      <c r="A112" s="59" t="s">
        <v>91</v>
      </c>
      <c r="B112" s="71">
        <f ca="1">E64</f>
        <v>74.559060518625714</v>
      </c>
      <c r="C112" s="358" t="s">
        <v>223</v>
      </c>
      <c r="D112" s="359"/>
      <c r="E112" s="72">
        <f ca="1">IF(E41=0,0,(F41^0.8)*(((1000/IF(B112&gt;95,95,IF(B112&lt;50,50,B112)))-9)^0.7)/(1140*E41^0.5)*60)</f>
        <v>20.142874242333072</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2</v>
      </c>
      <c r="G114" s="58"/>
    </row>
    <row r="115" spans="1:7" ht="28.8" customHeight="1" x14ac:dyDescent="0.3">
      <c r="A115" s="59" t="s">
        <v>77</v>
      </c>
      <c r="B115" s="126"/>
      <c r="C115" s="356" t="str">
        <f>IF(F114=1,"","Waiver (if No is selected):")</f>
        <v>Waiver (if No is selected):</v>
      </c>
      <c r="D115" s="356"/>
      <c r="E115" s="357" t="s">
        <v>51</v>
      </c>
      <c r="F115" s="357"/>
      <c r="G115" s="60"/>
    </row>
    <row r="116" spans="1:7" ht="43.2" customHeight="1" x14ac:dyDescent="0.3">
      <c r="A116" s="59" t="s">
        <v>80</v>
      </c>
      <c r="B116" s="27" t="str">
        <f>F61</f>
        <v>No</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s="180" customFormat="1" ht="32.4" customHeight="1" x14ac:dyDescent="0.3">
      <c r="A123" s="193" t="s">
        <v>224</v>
      </c>
      <c r="B123" s="71">
        <f>F65</f>
        <v>71.107643555876081</v>
      </c>
      <c r="C123" s="360" t="s">
        <v>225</v>
      </c>
      <c r="D123" s="361"/>
      <c r="E123" s="72">
        <f>IF(E40=0,0,(F40^0.8)*(((1000/IF(B123&gt;95,95,IF(B123&lt;50,50,B123)))-9)^0.7)/(1140*E40^0.5)*60)</f>
        <v>20.257598989141162</v>
      </c>
      <c r="F123" s="362" t="s">
        <v>102</v>
      </c>
      <c r="G123" s="189"/>
    </row>
    <row r="124" spans="1:7" ht="28.8" customHeight="1" x14ac:dyDescent="0.3">
      <c r="A124" s="59" t="s">
        <v>91</v>
      </c>
      <c r="B124" s="71">
        <f ca="1">F64</f>
        <v>75.326217324556538</v>
      </c>
      <c r="C124" s="358" t="s">
        <v>223</v>
      </c>
      <c r="D124" s="359"/>
      <c r="E124" s="72">
        <f ca="1">IF(E41=0,0,(F41^0.8)*(((1000/IF(B124&gt;95,95,IF(B124&lt;50,50,B124)))-9)^0.7)/(1140*E41^0.5)*60)</f>
        <v>19.704300381542755</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99:G99"/>
    <mergeCell ref="F111:F112"/>
    <mergeCell ref="C104:G104"/>
    <mergeCell ref="C52:D52"/>
    <mergeCell ref="A21:G21"/>
    <mergeCell ref="B31:E31"/>
    <mergeCell ref="B105:F105"/>
    <mergeCell ref="E94:F94"/>
    <mergeCell ref="E95:G96"/>
    <mergeCell ref="F97:G97"/>
    <mergeCell ref="E93:F93"/>
    <mergeCell ref="C90:D90"/>
    <mergeCell ref="C91:G91"/>
    <mergeCell ref="C51:D51"/>
    <mergeCell ref="C116:G116"/>
    <mergeCell ref="B113:G113"/>
    <mergeCell ref="A110:G110"/>
    <mergeCell ref="A87:G87"/>
    <mergeCell ref="C53:D53"/>
    <mergeCell ref="D78:E78"/>
    <mergeCell ref="B83:D83"/>
    <mergeCell ref="B84:D84"/>
    <mergeCell ref="C75:D75"/>
    <mergeCell ref="C76:D76"/>
    <mergeCell ref="C77:G77"/>
    <mergeCell ref="E90:F90"/>
    <mergeCell ref="A94:C95"/>
    <mergeCell ref="E115:F115"/>
    <mergeCell ref="B101:G101"/>
    <mergeCell ref="C100:D100"/>
    <mergeCell ref="G14:G15"/>
    <mergeCell ref="C68:D68"/>
    <mergeCell ref="E68:F68"/>
    <mergeCell ref="C70:G70"/>
    <mergeCell ref="B82:D82"/>
    <mergeCell ref="B81:D81"/>
    <mergeCell ref="A48:G48"/>
    <mergeCell ref="A22:F22"/>
    <mergeCell ref="A44:C44"/>
    <mergeCell ref="A45:C45"/>
    <mergeCell ref="C54:D54"/>
    <mergeCell ref="A81:A84"/>
    <mergeCell ref="A38:G38"/>
    <mergeCell ref="A39:B41"/>
    <mergeCell ref="C49:D49"/>
    <mergeCell ref="C50:D50"/>
    <mergeCell ref="D2:F2"/>
    <mergeCell ref="B71:G71"/>
    <mergeCell ref="B88:G88"/>
    <mergeCell ref="D3:F3"/>
    <mergeCell ref="B125:G125"/>
    <mergeCell ref="B97:C97"/>
    <mergeCell ref="C103:D103"/>
    <mergeCell ref="E103:F103"/>
    <mergeCell ref="C124:D124"/>
    <mergeCell ref="C112:D112"/>
    <mergeCell ref="C123:D123"/>
    <mergeCell ref="F123:F124"/>
    <mergeCell ref="C111:D111"/>
    <mergeCell ref="A122:G122"/>
    <mergeCell ref="B117:F117"/>
    <mergeCell ref="C115:D115"/>
    <mergeCell ref="A13:F13"/>
    <mergeCell ref="D4:F4"/>
    <mergeCell ref="D5:F5"/>
    <mergeCell ref="D6:F6"/>
    <mergeCell ref="B8:D8"/>
  </mergeCells>
  <conditionalFormatting sqref="E68:F68">
    <cfRule type="expression" dxfId="332" priority="56">
      <formula>$F$67=2</formula>
    </cfRule>
  </conditionalFormatting>
  <conditionalFormatting sqref="E90:F90">
    <cfRule type="expression" dxfId="331" priority="55">
      <formula>$F$89=2</formula>
    </cfRule>
  </conditionalFormatting>
  <conditionalFormatting sqref="E103:F103">
    <cfRule type="expression" dxfId="330" priority="53">
      <formula>$F$102=2</formula>
    </cfRule>
  </conditionalFormatting>
  <conditionalFormatting sqref="E115:F115">
    <cfRule type="expression" dxfId="329" priority="51">
      <formula>$F$114=2</formula>
    </cfRule>
  </conditionalFormatting>
  <conditionalFormatting sqref="B105:F105 D108">
    <cfRule type="expression" dxfId="328" priority="45">
      <formula>$F$102=1</formula>
    </cfRule>
  </conditionalFormatting>
  <conditionalFormatting sqref="D106">
    <cfRule type="expression" dxfId="327" priority="44">
      <formula>$F$102=1</formula>
    </cfRule>
  </conditionalFormatting>
  <conditionalFormatting sqref="B117:F117 D120">
    <cfRule type="expression" dxfId="326" priority="43">
      <formula>$F$114=1</formula>
    </cfRule>
  </conditionalFormatting>
  <conditionalFormatting sqref="B82:D82 B83:B84 E82:E84">
    <cfRule type="expression" dxfId="325" priority="59">
      <formula>$F$79&gt;0</formula>
    </cfRule>
  </conditionalFormatting>
  <conditionalFormatting sqref="E97">
    <cfRule type="expression" dxfId="324" priority="40">
      <formula>$G$94=TRUE</formula>
    </cfRule>
  </conditionalFormatting>
  <conditionalFormatting sqref="D119">
    <cfRule type="expression" dxfId="323" priority="38">
      <formula>$F$114=1</formula>
    </cfRule>
  </conditionalFormatting>
  <conditionalFormatting sqref="D118">
    <cfRule type="expression" dxfId="322" priority="37">
      <formula>$F$114=1</formula>
    </cfRule>
  </conditionalFormatting>
  <conditionalFormatting sqref="D107">
    <cfRule type="expression" dxfId="321" priority="36">
      <formula>$F$102=1</formula>
    </cfRule>
  </conditionalFormatting>
  <conditionalFormatting sqref="C64">
    <cfRule type="expression" dxfId="320" priority="35">
      <formula>$C$64="n/a"</formula>
    </cfRule>
  </conditionalFormatting>
  <conditionalFormatting sqref="B82:E84">
    <cfRule type="expression" dxfId="319" priority="34">
      <formula>$F$79="N/A"</formula>
    </cfRule>
  </conditionalFormatting>
  <conditionalFormatting sqref="C61">
    <cfRule type="expression" dxfId="318" priority="24">
      <formula>C61="n/a"</formula>
    </cfRule>
    <cfRule type="expression" dxfId="317" priority="29">
      <formula>C61="No"</formula>
    </cfRule>
    <cfRule type="expression" dxfId="316" priority="32">
      <formula>C61="Yes"</formula>
    </cfRule>
  </conditionalFormatting>
  <conditionalFormatting sqref="B61">
    <cfRule type="expression" dxfId="315" priority="21">
      <formula>B61="n/a"</formula>
    </cfRule>
    <cfRule type="expression" dxfId="314" priority="22">
      <formula>B61="No"</formula>
    </cfRule>
    <cfRule type="expression" dxfId="313" priority="23">
      <formula>B61="Yes"</formula>
    </cfRule>
  </conditionalFormatting>
  <conditionalFormatting sqref="D61:F61">
    <cfRule type="expression" dxfId="312" priority="18">
      <formula>D61="n/a"</formula>
    </cfRule>
    <cfRule type="expression" dxfId="311" priority="19">
      <formula>D61="No"</formula>
    </cfRule>
    <cfRule type="expression" dxfId="310" priority="20">
      <formula>D61="Yes"</formula>
    </cfRule>
  </conditionalFormatting>
  <conditionalFormatting sqref="B70">
    <cfRule type="expression" dxfId="309" priority="12">
      <formula>B70="n/a"</formula>
    </cfRule>
    <cfRule type="expression" dxfId="308" priority="13">
      <formula>B70="No"</formula>
    </cfRule>
    <cfRule type="expression" dxfId="307" priority="14">
      <formula>B70="Yes"</formula>
    </cfRule>
  </conditionalFormatting>
  <conditionalFormatting sqref="B91">
    <cfRule type="expression" dxfId="306" priority="9">
      <formula>B91="n/a"</formula>
    </cfRule>
    <cfRule type="expression" dxfId="305" priority="10">
      <formula>B91="No"</formula>
    </cfRule>
    <cfRule type="expression" dxfId="304" priority="11">
      <formula>B91="Yes"</formula>
    </cfRule>
  </conditionalFormatting>
  <conditionalFormatting sqref="B104">
    <cfRule type="expression" dxfId="303" priority="6">
      <formula>B104="n/a"</formula>
    </cfRule>
    <cfRule type="expression" dxfId="302" priority="7">
      <formula>B104="No"</formula>
    </cfRule>
    <cfRule type="expression" dxfId="301" priority="8">
      <formula>B104="Yes"</formula>
    </cfRule>
  </conditionalFormatting>
  <conditionalFormatting sqref="B116">
    <cfRule type="expression" dxfId="300" priority="3">
      <formula>B116="n/a"</formula>
    </cfRule>
    <cfRule type="expression" dxfId="299" priority="4">
      <formula>B116="No"</formula>
    </cfRule>
    <cfRule type="expression" dxfId="298" priority="5">
      <formula>B116="Yes"</formula>
    </cfRule>
  </conditionalFormatting>
  <conditionalFormatting sqref="F75">
    <cfRule type="expression" dxfId="297" priority="2">
      <formula>$E$75&gt;=5%</formula>
    </cfRule>
  </conditionalFormatting>
  <conditionalFormatting sqref="F76">
    <cfRule type="expression" dxfId="296"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00000000-0002-0000-0200-000000000000}">
      <formula1>-73.732</formula1>
      <formula2>-71.46</formula2>
    </dataValidation>
    <dataValidation type="decimal" allowBlank="1" showInputMessage="1" showErrorMessage="1" errorTitle="Invalid Latitude!" error="You've entered a latitude that is not in Vermont." sqref="D5:F5" xr:uid="{00000000-0002-0000-0200-000001000000}">
      <formula1>42.72</formula1>
      <formula2>45.02</formula2>
    </dataValidation>
  </dataValidations>
  <hyperlinks>
    <hyperlink ref="E8" r:id="rId1" xr:uid="{00000000-0004-0000-0200-000000000000}"/>
  </hyperlinks>
  <pageMargins left="0.5" right="0.5" top="0.75" bottom="0.75" header="0.3" footer="0.3"/>
  <pageSetup orientation="portrait" r:id="rId2"/>
  <headerFooter>
    <oddHeader>&amp;C&amp;"-,Bold"&amp;14Vermont Operational Stormwater Permit - Standards Compliance Workbook</oddHeader>
    <oddFooter>&amp;LLast Updated 11/22/2017
&amp;R&amp;A: Page &amp;P of &amp;N</oddFooter>
  </headerFooter>
  <ignoredErrors>
    <ignoredError sqref="D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4341" r:id="rId5" name="Group Box 5">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342" r:id="rId6" name="Option Button 6">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343" r:id="rId7" name="Option Button 7">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346" r:id="rId8" name="Group Box 10">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347" r:id="rId9" name="Option Button 11">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348" r:id="rId10" name="Option Button 12">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358" r:id="rId11" name="Group Box 22">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360" r:id="rId12" name="Option Button 24">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362" r:id="rId13" name="Option Button 26">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365" r:id="rId14" name="Group Box 29">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366" r:id="rId15" name="Option Button 30">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367" r:id="rId16" name="Option Button 31">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393" r:id="rId17" name="Group Box 57">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394" r:id="rId18" name="Option Button 58">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395" r:id="rId19" name="Option Button 59">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416" r:id="rId20" name="Check Box 80">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418" r:id="rId21" name="Group Box 82">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419" r:id="rId22" name="Option Button 83">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422" r:id="rId23" name="Option Button 86">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430" r:id="rId24" name="Group Box 94">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437" r:id="rId25" name="Group Box 10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438" r:id="rId26" name="Option Button 10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439" r:id="rId27" name="Option Button 10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442" r:id="rId28" name="Option Button 106">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443" r:id="rId29" name="Option Button 107">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Lookup!$G$3:$G$6</xm:f>
          </x14:formula1>
          <xm:sqref>E68:F68</xm:sqref>
        </x14:dataValidation>
        <x14:dataValidation type="list" allowBlank="1" showInputMessage="1" showErrorMessage="1" xr:uid="{00000000-0002-0000-0200-000003000000}">
          <x14:formula1>
            <xm:f>Lookup!$H$4:$H$7</xm:f>
          </x14:formula1>
          <xm:sqref>E90:F90</xm:sqref>
        </x14:dataValidation>
        <x14:dataValidation type="list" allowBlank="1" showInputMessage="1" showErrorMessage="1" xr:uid="{00000000-0002-0000-0200-000005000000}">
          <x14:formula1>
            <xm:f>Lookup!$I$4:$I$8</xm:f>
          </x14:formula1>
          <xm:sqref>E103:F103</xm:sqref>
        </x14:dataValidation>
        <x14:dataValidation type="list" allowBlank="1" showInputMessage="1" showErrorMessage="1" xr:uid="{00000000-0002-0000-0200-000006000000}">
          <x14:formula1>
            <xm:f>Lookup!$J$4:$J$8</xm:f>
          </x14:formula1>
          <xm:sqref>E115:F115</xm:sqref>
        </x14:dataValidation>
        <x14:dataValidation type="list" allowBlank="1" showInputMessage="1" showErrorMessage="1" xr:uid="{00000000-0002-0000-0200-000007000000}">
          <x14:formula1>
            <xm:f>Lookup!$H$13:$H$19</xm:f>
          </x14:formula1>
          <xm:sqref>C82:D82 B82:B84</xm:sqref>
        </x14:dataValidation>
        <x14:dataValidation type="list" allowBlank="1" showInputMessage="1" showErrorMessage="1" xr:uid="{00000000-0002-0000-0200-000008000000}">
          <x14:formula1>
            <xm:f>Lookup!$G$12:$G$23</xm:f>
          </x14:formula1>
          <xm:sqref>A55</xm:sqref>
        </x14:dataValidation>
        <x14:dataValidation type="list" allowBlank="1" showInputMessage="1" showErrorMessage="1" xr:uid="{00000000-0002-0000-0200-000009000000}">
          <x14:formula1>
            <xm:f>Lookup!$G$11:$G$23</xm:f>
          </x14:formula1>
          <xm:sqref>A50:A54 C50:D54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E679-CCC5-40BA-9DBD-F661C522C4B5}">
  <dimension ref="A1:O125"/>
  <sheetViews>
    <sheetView view="pageLayout" zoomScaleNormal="100" workbookViewId="0">
      <selection activeCell="B52" sqref="B52"/>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v>2</v>
      </c>
      <c r="E3" s="349"/>
      <c r="F3" s="350"/>
      <c r="G3" s="99"/>
      <c r="H3" s="22"/>
      <c r="I3" s="22"/>
      <c r="J3" s="22"/>
    </row>
    <row r="4" spans="1:15" x14ac:dyDescent="0.3">
      <c r="A4" s="14"/>
      <c r="B4" s="13"/>
      <c r="C4" s="45" t="s">
        <v>31</v>
      </c>
      <c r="D4" s="336" t="s">
        <v>255</v>
      </c>
      <c r="E4" s="337"/>
      <c r="F4" s="338"/>
      <c r="G4" s="99"/>
      <c r="H4" s="22"/>
      <c r="I4" s="22"/>
      <c r="J4" s="22"/>
    </row>
    <row r="5" spans="1:15" x14ac:dyDescent="0.3">
      <c r="A5" s="14"/>
      <c r="B5" s="13"/>
      <c r="C5" s="45" t="s">
        <v>172</v>
      </c>
      <c r="D5" s="339">
        <v>44.000019999999999</v>
      </c>
      <c r="E5" s="339"/>
      <c r="F5" s="339"/>
      <c r="G5" s="99"/>
      <c r="H5" s="22"/>
      <c r="I5" s="22"/>
      <c r="J5" s="22"/>
    </row>
    <row r="6" spans="1:15" ht="15.6" customHeight="1" x14ac:dyDescent="0.3">
      <c r="A6" s="14"/>
      <c r="B6" s="13"/>
      <c r="C6" s="46" t="s">
        <v>177</v>
      </c>
      <c r="D6" s="340">
        <v>-73.000020000000006</v>
      </c>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2.2000000000000002</v>
      </c>
      <c r="D10" s="217">
        <v>3.99</v>
      </c>
      <c r="E10" s="217">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1.68</v>
      </c>
      <c r="F17" s="133">
        <f t="shared" si="0"/>
        <v>1.68</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1.68</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1.44</v>
      </c>
      <c r="F24" s="133">
        <f>SUM(B24:E24)</f>
        <v>1.44</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v>0.24</v>
      </c>
      <c r="F27" s="249">
        <f>SUM(B27:E27)</f>
        <v>0.24</v>
      </c>
      <c r="G27" s="255">
        <f>IF(F32=0,0,F27/$F$32)</f>
        <v>0.14285714285714285</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1.68</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0.24</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2.0699999999999998</v>
      </c>
      <c r="F40" s="171">
        <v>285</v>
      </c>
      <c r="G40" s="60"/>
      <c r="H40" s="1"/>
      <c r="I40" s="33"/>
      <c r="J40" s="33"/>
      <c r="K40" s="13"/>
      <c r="L40" s="6"/>
      <c r="M40" s="13"/>
      <c r="N40" s="13"/>
      <c r="O40" s="13"/>
    </row>
    <row r="41" spans="1:15" ht="14.4" customHeight="1" x14ac:dyDescent="0.3">
      <c r="A41" s="393"/>
      <c r="B41" s="394"/>
      <c r="C41" s="13"/>
      <c r="D41" s="20" t="s">
        <v>217</v>
      </c>
      <c r="E41" s="197">
        <v>1.97</v>
      </c>
      <c r="F41" s="171">
        <v>285</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2'!$C$10-0.2*Lookup!$B$13)^2/('SN2'!$C$10+0.8*Lookup!$B$13)))*$B$15+IF($C$10&lt;0.2*Lookup!$B$14,0,(('SN2'!$C$10-0.2*Lookup!$B$14)^2/('SN2'!$C$10+0.8*Lookup!$B$14)))*$B$16+IF($C$10&lt;0.2*Lookup!$B$15,0,(('SN2'!$C$10-0.2*Lookup!$B$15)^2/('SN2'!$C$10+0.8*Lookup!$B$15)))*$B$17++IF($C$10&lt;0.2*Lookup!$B$17,0,(('SN2'!$C$10-0.2*Lookup!$B$17)^2/('SN2'!$C$10+0.8*Lookup!$B$17)))*$B$18+IF($C$10&lt;0.2*Lookup!$C$13,0,(('SN2'!$C$10-0.2*Lookup!$C$13)^2/('SN2'!C$10+0.8*Lookup!$C$13)))*$C$15+IF($C$10&lt;0.2*Lookup!$C$14,0,(('SN2'!$C$10-0.2*Lookup!$C$14)^2/('SN2'!$C$10+0.8*Lookup!$C$14)))*$C$16+IF($C$10&lt;0.2*Lookup!$C$15,0,(('SN2'!$C$10-0.2*Lookup!$C$15)^2/('SN2'!$C$10+0.8*Lookup!$C$15)))*$C$17+IF($C$10&lt;0.2*Lookup!$C$17,0,(('SN2'!$C$10-0.2*Lookup!$C$17)^2/('SN2'!$C$10+0.8*Lookup!$C$17)))*$C$18+IF($C$10&lt;0.2*Lookup!$D$13,0,(('SN2'!$C$10-0.2*Lookup!$D$13)^2/('SN2'!$C$10+0.8*Lookup!$D$13)))*$D$15+IF($C$10&lt;0.2*Lookup!$D$14,0,(('SN2'!$C$10-0.2*Lookup!$D$14)^2/('SN2'!$C$10+0.8*Lookup!$D$14)))*$D$16+IF($C$10&lt;0.2*Lookup!$D$15,0,(('SN2'!$C$10-0.2*Lookup!$D$15)^2/('SN2'!$C$10+0.8*Lookup!$D$15)))*$D$17+IF($C$10&lt;0.2*Lookup!$D$17,0,(('SN2'!$C$10-0.2*Lookup!$D$17)^2/('SN2'!$C$10+0.8*Lookup!$D$17)))*$D$18+IF($C$10&lt;0.2*Lookup!$E$13,0,(('SN2'!$C$10-0.2*Lookup!$E$13)^2/('SN2'!$C$10+0.8*Lookup!$E$13)))*$E$15+IF($C$10&lt;0.2*Lookup!$E$14,0,(('SN2'!$C$10-0.2*Lookup!$E$14)^2/('SN2'!$C$10+0.8*Lookup!$E$14)))*$E$16+IF($C$10&lt;0.2*Lookup!$E$15,0,(('SN2'!$C$10-0.2*Lookup!$E$15)^2/('SN2'!$C$10+0.8*Lookup!$E$15)))*$E$17+IF($C$10&lt;0.2*Lookup!$E$17,0,(('SN2'!$C$10-0.2*Lookup!$E$17)^2/('SN2'!$C$10+0.8*Lookup!$E$17)))*$E$18)/12</f>
        <v>7.8343159952667621E-2</v>
      </c>
      <c r="E44" s="257">
        <f>(IF($D$10&lt;0.2*Lookup!$B$13,0,(('SN2'!$D$10-0.2*Lookup!$B$13)^2/('SN2'!$D$10+0.8*Lookup!$B$13)))*$B$15+IF($D$10&lt;0.2*Lookup!$B$14,0,(('SN2'!$D$10-0.2*Lookup!$B$14)^2/('SN2'!$D$10+0.8*Lookup!$B$14)))*$B$16+IF($D$10&lt;0.2*Lookup!$B$15,0,(('SN2'!$D$10-0.2*Lookup!$B$15)^2/('SN2'!$D$10+0.8*Lookup!$B$15)))*$B$17++IF($D$10&lt;0.2*Lookup!$B$17,0,(('SN2'!$D$10-0.2*Lookup!$B$17)^2/('SN2'!$D$10+0.8*Lookup!$B$17)))*$B$18+IF($D$10&lt;0.2*Lookup!$C$13,0,(('SN2'!$D$10-0.2*Lookup!$C$13)^2/('SN2'!C$10+0.8*Lookup!$C$13)))*$C$15+IF($D$10&lt;0.2*Lookup!$C$14,0,(('SN2'!$D$10-0.2*Lookup!$C$14)^2/('SN2'!$D$10+0.8*Lookup!$C$14)))*$C$16+IF($D$10&lt;0.2*Lookup!$C$15,0,(('SN2'!$D$10-0.2*Lookup!$C$15)^2/('SN2'!$D$10+0.8*Lookup!$C$15)))*$C$17+IF($D$10&lt;0.2*Lookup!$C$17,0,(('SN2'!$D$10-0.2*Lookup!$C$17)^2/('SN2'!$D$10+0.8*Lookup!$C$17)))*$C$18+IF($D$10&lt;0.2*Lookup!$D$13,0,(('SN2'!$D$10-0.2*Lookup!$D$13)^2/('SN2'!$D$10+0.8*Lookup!$D$13)))*$D$15+IF($D$10&lt;0.2*Lookup!$D$14,0,(('SN2'!$D$10-0.2*Lookup!$D$14)^2/('SN2'!$D$10+0.8*Lookup!$D$14)))*$D$16+IF($D$10&lt;0.2*Lookup!$D$15,0,(('SN2'!$D$10-0.2*Lookup!$D$15)^2/('SN2'!$D$10+0.8*Lookup!$D$15)))*$D$17+IF($D$10&lt;0.2*Lookup!$D$17,0,(('SN2'!$D$10-0.2*Lookup!$D$17)^2/('SN2'!$D$10+0.8*Lookup!$D$17)))*$D$18+IF($D$10&lt;0.2*Lookup!$E$13,0,(('SN2'!$D$10-0.2*Lookup!$E$13)^2/('SN2'!$D$10+0.8*Lookup!$E$13)))*$E$15+IF($D$10&lt;0.2*Lookup!$E$14,0,(('SN2'!$D$10-0.2*Lookup!$E$14)^2/('SN2'!$D$10+0.8*Lookup!$E$14)))*$E$16+IF($D$10&lt;0.2*Lookup!$E$15,0,(('SN2'!$D$10-0.2*Lookup!$E$15)^2/('SN2'!$D$10+0.8*Lookup!$E$15)))*$E$17++IF($D$10&lt;0.2*Lookup!$E$17,0,(('SN2'!$D$10-0.2*Lookup!$E$17)^2/('SN2'!$D$10+0.8*Lookup!$E$17)))*$E$18)/12</f>
        <v>0.25257975027435769</v>
      </c>
      <c r="F44" s="257">
        <f>(IF($E$10&lt;0.2*Lookup!$B$13,0,(('SN2'!$E$10-0.2*Lookup!$B$13)^2/('SN2'!$E$10+0.8*Lookup!$B$13)))*$B$15+IF($E$10&lt;0.2*Lookup!$B$14,0,(('SN2'!$E$10-0.2*Lookup!$B$14)^2/('SN2'!$E$10+0.8*Lookup!$B$14)))*$B$16+IF($E$10&lt;0.2*Lookup!$B$15,0,(('SN2'!$E$10-0.2*Lookup!$B$15)^2/('SN2'!$E$10+0.8*Lookup!$B$15)))*$B$17++IF($E$10&lt;0.2*Lookup!$B$17,0,(('SN2'!$E$10-0.2*Lookup!$B$17)^2/('SN2'!$E$10+0.8*Lookup!$B$17)))*$B$18+IF($E$10&lt;0.2*Lookup!$C$13,0,(('SN2'!$E$10-0.2*Lookup!$C$13)^2/('SN2'!C$10+0.8*Lookup!$C$13)))*$C$15+IF($E$10&lt;0.2*Lookup!$C$14,0,(('SN2'!$E$10-0.2*Lookup!$C$14)^2/('SN2'!$E$10+0.8*Lookup!$C$14)))*$C$16+IF($E$10&lt;0.2*Lookup!$C$15,0,(('SN2'!$E$10-0.2*Lookup!$C$15)^2/('SN2'!$E$10+0.8*Lookup!$C$15)))*$C$17+IF($E$10&lt;0.2*Lookup!$C$17,0,(('SN2'!$E$10-0.2*Lookup!$C$17)^2/('SN2'!$E$10+0.8*Lookup!$C$17)))*$C$18+IF($E$10&lt;0.2*Lookup!$D$13,0,(('SN2'!$E$10-0.2*Lookup!$D$13)^2/('SN2'!$E$10+0.8*Lookup!$D$13)))*$D$15+IF($E$10&lt;0.2*Lookup!$D$14,0,(('SN2'!$E$10-0.2*Lookup!$D$14)^2/('SN2'!$E$10+0.8*Lookup!$D$14)))*$D$16+IF($E$10&lt;0.2*Lookup!$D$15,0,(('SN2'!$E$10-0.2*Lookup!$D$15)^2/('SN2'!$E$10+0.8*Lookup!$D$15)))*$D$17+IF($E$10&lt;0.2*Lookup!$D$17,0,(('SN2'!$E$10-0.2*Lookup!$D$17)^2/('SN2'!$E$10+0.8*Lookup!$D$17)))*$D$18+IF($E$10&lt;0.2*Lookup!$E$13,0,(('SN2'!$E$10-0.2*Lookup!$E$13)^2/('SN2'!$E$10+0.8*Lookup!$E$13)))*$E$15+IF($E$10&lt;0.2*Lookup!$E$14,0,(('SN2'!$E$10-0.2*Lookup!$E$14)^2/('SN2'!$E$10+0.8*Lookup!$E$14)))*$E$16+IF($E$10&lt;0.2*Lookup!$E$15,0,(('SN2'!$E$10-0.2*Lookup!$E$15)^2/('SN2'!$E$10+0.8*Lookup!$E$15)))*$E$17++IF($E$10&lt;0.2*Lookup!$E$17,0,(('SN2'!$E$10-0.2*Lookup!$E$17)^2/('SN2'!$E$10+0.8*Lookup!$E$17)))*$E$18)/12</f>
        <v>0.50054320400823993</v>
      </c>
      <c r="G44" s="60"/>
      <c r="K44" s="13"/>
      <c r="L44" s="6"/>
      <c r="M44" s="13"/>
      <c r="N44" s="13"/>
      <c r="O44" s="13"/>
    </row>
    <row r="45" spans="1:15" ht="14.4" customHeight="1" x14ac:dyDescent="0.3">
      <c r="A45" s="383" t="s">
        <v>113</v>
      </c>
      <c r="B45" s="369"/>
      <c r="C45" s="384"/>
      <c r="D45" s="257">
        <f>(IF($C$10&lt;0.2*Lookup!$B$13,0,(('SN2'!$C$10-0.2*Lookup!$B$13)^2/('SN2'!$C$10+0.8*Lookup!$B$13)))*$B$24+IF($C$10&lt;0.2*Lookup!$B$14,0,(('SN2'!$C$10-0.2*Lookup!$B$14)^2/('SN2'!$C$10+0.8*Lookup!$B$14)))*$B$25+IF($C$10&lt;0.2*Lookup!$B$15,0,(('SN2'!$C$10-0.2*Lookup!$B$15)^2/('SN2'!$C$10+0.8*Lookup!$B$15)))*$B$26+IF($C$10&lt;0.2*Lookup!$C$13,0,(('SN2'!$C$10-0.2*Lookup!$C$13)^2/('SN2'!C$10+0.8*Lookup!$C$13)))*$C$24+IF($C$10&lt;0.2*Lookup!$C$14,0,(('SN2'!$C$10-0.2*Lookup!$C$14)^2/('SN2'!$C$10+0.8*Lookup!$C$14)))*$C$25+IF($C$10&lt;0.2*Lookup!$C$15,0,(('SN2'!$C$10-0.2*Lookup!$C$15)^2/('SN2'!$C$10+0.8*Lookup!$C$15)))*$C$26+IF($C$10&lt;0.2*Lookup!$D$13,0,(('SN2'!$C$10-0.2*Lookup!$D$13)^2/('SN2'!$C$10+0.8*Lookup!$D$13)))*$D$24+IF($C$10&lt;0.2*Lookup!$D$14,0,(('SN2'!$C$10-0.2*Lookup!$D$14)^2/('SN2'!$C$10+0.8*Lookup!$D$14)))*$D$25+IF($C$10&lt;0.2*Lookup!$D$15,0,(('SN2'!$C$10-0.2*Lookup!$D$15)^2/('SN2'!$C$10+0.8*Lookup!$D$15)))*$D$26+IF($C$10&lt;0.2*Lookup!$E$13,0,(('SN2'!$C$10-0.2*Lookup!$E$13)^2/('SN2'!$C$10+0.8*Lookup!$E$13)))*$E$24+IF($C$10&lt;0.2*Lookup!$E$14,0,(('SN2'!$C$10-0.2*Lookup!$E$14)^2/('SN2'!$C$10+0.8*Lookup!$E$14)))*$E$25+IF($C$10&lt;0.2*Lookup!$E$15,0,(('SN2'!$C$10-0.2*Lookup!$E$15)^2/('SN2'!$C$10+0.8*Lookup!$E$15)))*$E$26+(($C$10-0.2*Lookup!B17)^2/($C$10+0.8*Lookup!B17)*(F27+F28+F29+F30)))/12</f>
        <v>0.12202594198301082</v>
      </c>
      <c r="E45" s="257">
        <f>(IF($D$10&lt;0.2*Lookup!$B$13,0,(('SN2'!$D$10-0.2*Lookup!$B$13)^2/('SN2'!$D$10+0.8*Lookup!$B$13)))*$B$24+IF($D$10&lt;0.2*Lookup!$B$14,0,(('SN2'!$D$10-0.2*Lookup!$B$14)^2/('SN2'!$D$10+0.8*Lookup!$B$14)))*$B$25+IF($D$10&lt;0.2*Lookup!$B$15,0,(('SN2'!$D$10-0.2*Lookup!$B$15)^2/('SN2'!$D$10+0.8*Lookup!$B$15)))*$B$26+IF($D$10&lt;0.2*Lookup!$C$13,0,(('SN2'!$D$10-0.2*Lookup!$C$13)^2/('SN2'!C$10+0.8*Lookup!$C$13)))*$C$24+IF($D$10&lt;0.2*Lookup!$C$14,0,(('SN2'!$D$10-0.2*Lookup!$C$14)^2/('SN2'!$D$10+0.8*Lookup!$C$14)))*$C$25+IF($D$10&lt;0.2*Lookup!$C$15,0,(('SN2'!$D$10-0.2*Lookup!$C$15)^2/('SN2'!$D$10+0.8*Lookup!$C$15)))*$C$26+IF($D$10&lt;0.2*Lookup!$D$13,0,(('SN2'!$D$10-0.2*Lookup!$D$13)^2/('SN2'!$D$10+0.8*Lookup!$D$13)))*$D$24+IF($D$10&lt;0.2*Lookup!$D$14,0,(('SN2'!$D$10-0.2*Lookup!$D$14)^2/('SN2'!$D$10+0.8*Lookup!$D$14)))*$D$25+IF($D$10&lt;0.2*Lookup!$D$15,0,(('SN2'!$D$10-0.2*Lookup!$D$15)^2/('SN2'!$D$10+0.8*Lookup!$D$15)))*$D$26+IF($D$10&lt;0.2*Lookup!$E$13,0,(('SN2'!$D$10-0.2*Lookup!$E$13)^2/('SN2'!$D$10+0.8*Lookup!$E$13)))*$E$24+IF($D$10&lt;0.2*Lookup!$E$14,0,(('SN2'!$D$10-0.2*Lookup!$E$14)^2/('SN2'!$D$10+0.8*Lookup!$E$14)))*$E$25+IF($D$10&lt;0.2*Lookup!$E$15,0,(('SN2'!$D$10-0.2*Lookup!$E$15)^2/('SN2'!$D$10+0.8*Lookup!$E$15)))*$E$26+(($D$10-0.2*Lookup!B17)^2/($D$10+0.8*Lookup!B17)*(F27+F28+F29+F30)))/12</f>
        <v>0.31911128372507958</v>
      </c>
      <c r="F45" s="257">
        <f>(IF($E$10&lt;0.2*Lookup!$B$13,0,(('SN2'!$E$10-0.2*Lookup!$B$13)^2/('SN2'!$E$10+0.8*Lookup!$B$13)))*$B$24+IF($E$10&lt;0.2*Lookup!$B$14,0,(('SN2'!$E$10-0.2*Lookup!$B$14)^2/('SN2'!$E$10+0.8*Lookup!$B$14)))*$B$25+IF($E$10&lt;0.2*Lookup!$B$15,0,(('SN2'!$E$10-0.2*Lookup!$B$15)^2/('SN2'!$E$10+0.8*Lookup!$B$15)))*$B$26+IF($E$10&lt;0.2*Lookup!$C$13,0,(('SN2'!$E$10-0.2*Lookup!$C$13)^2/('SN2'!C$10+0.8*Lookup!$C$13)))*$C$24+IF($E$10&lt;0.2*Lookup!$C$14,0,(('SN2'!$E$10-0.2*Lookup!$C$14)^2/('SN2'!$E$10+0.8*Lookup!$C$14)))*$C$25+IF($E$10&lt;0.2*Lookup!$C$15,0,(('SN2'!$E$10-0.2*Lookup!$C$15)^2/('SN2'!$E$10+0.8*Lookup!$C$15)))*$C$26+IF($E$10&lt;0.2*Lookup!$D$13,0,(('SN2'!$E$10-0.2*Lookup!$D$13)^2/('SN2'!$E$10+0.8*Lookup!$D$13)))*$D$24+IF($E$10&lt;0.2*Lookup!$D$14,0,(('SN2'!$E$10-0.2*Lookup!$D$14)^2/('SN2'!$E$10+0.8*Lookup!$D$14)))*$D$25+IF($E$10&lt;0.2*Lookup!$D$15,0,(('SN2'!$E$10-0.2*Lookup!$D$15)^2/('SN2'!$E$10+0.8*Lookup!$D$15)))*$D$26+IF($E$10&lt;0.2*Lookup!$E$13,0,(('SN2'!$E$10-0.2*Lookup!$E$13)^2/('SN2'!$E$10+0.8*Lookup!$E$13)))*$E$24+IF($E$10&lt;0.2*Lookup!$E$14,0,(('SN2'!$E$10-0.2*Lookup!$E$14)^2/('SN2'!$E$10+0.8*Lookup!$E$14)))*$E$25+IF($E$10&lt;0.2*Lookup!$E$15,0,(('SN2'!$E$10-0.2*Lookup!$E$15)^2/('SN2'!$E$10+0.8*Lookup!$E$15)))*$E$26+(($E$10-0.2*Lookup!B17)^2/($E$10+0.8*Lookup!B17)*(F27+F28+F29+F30)))/12</f>
        <v>0.58311324603896353</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t="s">
        <v>65</v>
      </c>
      <c r="B50" s="172">
        <v>4.0000000000000001E-3</v>
      </c>
      <c r="C50" s="385"/>
      <c r="D50" s="386"/>
      <c r="E50" s="173"/>
      <c r="F50" s="13"/>
      <c r="G50" s="60"/>
      <c r="I50" s="113"/>
      <c r="J50" s="113"/>
      <c r="K50" s="113"/>
      <c r="L50" s="6"/>
      <c r="M50" s="13"/>
      <c r="N50" s="13"/>
      <c r="O50" s="13"/>
    </row>
    <row r="51" spans="1:15" x14ac:dyDescent="0.3">
      <c r="A51" s="194" t="s">
        <v>66</v>
      </c>
      <c r="B51" s="172">
        <v>2.1000000000000001E-2</v>
      </c>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2.4999999999999994E-2</v>
      </c>
      <c r="D58" s="258">
        <f>D45-D44+(C10-0.2*Lookup!$B$17)^2/(C10+0.8*Lookup!$B$17)*$F$28/12-IF(C10-0.2*Lookup!$B$15&lt;0,0,(C10-0.2*Lookup!$B$15)^2/(C10+0.8*Lookup!$B$15))*$B$28/12-IF(C10-0.2*Lookup!$C$15&lt;0,0,(C10-0.2*Lookup!$C$15)^2/(C10+0.8*Lookup!$C$15))*$C$28/12-IF(C10-0.2*Lookup!$D$15&lt;0,0,(C10-0.2*Lookup!$D$15)^2/(C10+0.8*Lookup!$D$15))*$D$28/12-IF(C10-0.2*Lookup!$E$15&lt;0,0,(C10-0.2*Lookup!$E$15)^2/(C10+0.8*Lookup!$E$15)*$E$28)/12</f>
        <v>4.3682782030343204E-2</v>
      </c>
      <c r="E58" s="258">
        <f>E45-E44+(D10-0.2*Lookup!$B$17)^2/(D10+0.8*Lookup!$B$17)*$F$28/12-IF(D10-0.2*Lookup!$B$15&lt;0,0,(D10-0.2*Lookup!$B$15)^2/(D10+0.8*Lookup!$B$15))*$B$28/12-IF(D10-0.2*Lookup!$C$15&lt;0,0,(D10-0.2*Lookup!$C$15)^2/(D10+0.8*Lookup!$C$15))*$C$28/12-IF(D10-0.2*Lookup!$D$15&lt;0,0,(D10-0.2*Lookup!$D$15)^2/(D10+0.8*Lookup!$D$15))*$D$28/12-IF(D10-0.2*Lookup!$E$15&lt;0,0,(D10-0.2*Lookup!$E$15)^2/(D10+0.8*Lookup!$E$15)*$E$28)/12</f>
        <v>6.653153345072188E-2</v>
      </c>
      <c r="F58" s="258">
        <f>F45-F44+(E10-0.2*Lookup!$B$17)^2/(E10+0.8*Lookup!$B$17)*$F$28/12-IF(E10-0.2*Lookup!$B$15&lt;0,0,(E10-0.2*Lookup!$B$15)^2/(E10+0.8*Lookup!$B$15))*$B$28/12-IF(E10-0.2*Lookup!$C$15&lt;0,0,(E10-0.2*Lookup!$C$15)^2/(E10+0.8*Lookup!$C$15))*$C$28/12-IF(E10-0.2*Lookup!$D$15&lt;0,0,(E10-0.2*Lookup!$D$15)^2/(E10+0.8*Lookup!$D$15))*$D$28/12-IF(E10-0.2*Lookup!$E$15&lt;0,0,(E10-0.2*Lookup!$E$15)^2/(E10+0.8*Lookup!$E$15)*$E$28)/12</f>
        <v>8.25700420307236E-2</v>
      </c>
      <c r="G58" s="60"/>
      <c r="K58" s="13"/>
      <c r="L58" s="13"/>
      <c r="M58" s="13"/>
      <c r="N58" s="13"/>
      <c r="O58" s="13"/>
    </row>
    <row r="59" spans="1:15" ht="15.6" x14ac:dyDescent="0.3">
      <c r="A59" s="61" t="s">
        <v>72</v>
      </c>
      <c r="B59" s="260">
        <f ca="1">SUM($B$50:$B$54,$E$50:$E$54)-(SUMIF(A50:A54,"Green Roofs",B50:B54)+SUMIF(C50:D54,"Green Roofs",E50:E54))</f>
        <v>2.5000000000000001E-2</v>
      </c>
      <c r="C59" s="260">
        <f ca="1">SUM($B$50:$B$54,$E$50:$E$54)-(SUMIF(A50:A54,"Green Roofs",B50:B54)+SUMIF(C50:D54,"Green Roofs",E50:E54))</f>
        <v>2.5000000000000001E-2</v>
      </c>
      <c r="D59" s="260">
        <f>SUM($B$50:$B$54,$E$50:$E$54)</f>
        <v>2.5000000000000001E-2</v>
      </c>
      <c r="E59" s="260">
        <f t="shared" ref="E59:F59" si="1">SUM($B$50:$B$54,$E$50:$E$54)</f>
        <v>2.5000000000000001E-2</v>
      </c>
      <c r="F59" s="260">
        <f t="shared" si="1"/>
        <v>2.5000000000000001E-2</v>
      </c>
      <c r="G59" s="60"/>
      <c r="K59" s="24"/>
      <c r="L59" s="13"/>
      <c r="M59" s="13"/>
      <c r="N59" s="13"/>
      <c r="O59" s="13"/>
    </row>
    <row r="60" spans="1:15" ht="15.6" x14ac:dyDescent="0.3">
      <c r="A60" s="81" t="s">
        <v>119</v>
      </c>
      <c r="B60" s="260">
        <f ca="1">IF((B58-B59)&gt;0,B58-B59,0)</f>
        <v>0</v>
      </c>
      <c r="C60" s="260">
        <f ca="1">IF((C58-C59)&gt;0,C58-C59,0)</f>
        <v>0</v>
      </c>
      <c r="D60" s="260">
        <f>IF((D58-D59)&gt;0,D58-D59,0)</f>
        <v>1.8682782030343202E-2</v>
      </c>
      <c r="E60" s="260">
        <f>IF((E58-E59)&gt;0,E58-E59,0)</f>
        <v>4.1531533450721879E-2</v>
      </c>
      <c r="F60" s="260">
        <f>IF((F58-F59)&gt;0,F58-F59,0)</f>
        <v>5.7570042030723599E-2</v>
      </c>
      <c r="G60" s="60"/>
      <c r="K60" s="13"/>
      <c r="L60" s="13"/>
      <c r="M60" s="13"/>
      <c r="N60" s="13"/>
      <c r="O60" s="13"/>
    </row>
    <row r="61" spans="1:15" x14ac:dyDescent="0.3">
      <c r="A61" s="59" t="s">
        <v>44</v>
      </c>
      <c r="B61" s="27" t="str">
        <f>IF(B58=0,"n/a",IF(ROUND(B60,4)=0,"Yes","No"))</f>
        <v>n/a</v>
      </c>
      <c r="C61" s="27" t="str">
        <f ca="1">IF(ROUND(C60,4)=0,"Yes", "No")</f>
        <v>Yes</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85.215520033074483</v>
      </c>
      <c r="D63" s="28">
        <f>IF(F32=0,"n/a",200/((2+C10+D45*(24/F32))-(5*C10*D45*(12/F32)+4*(D45*(12/F32))^2)^(1/2)))</f>
        <v>83.687764117450371</v>
      </c>
      <c r="E63" s="28">
        <f>IF(F32=0,"n/a",200/((2+D10+E45*(24/F32))-(5*D10*E45*(12/F32)+4*(E45*(12/F32))^2)^(1/2)))</f>
        <v>83.022326577263271</v>
      </c>
      <c r="F63" s="28">
        <f>IF(F32=0,"n/a",200/((2+E10+F45*(24/F32))-(5*E10*F45*(12/F32)+4*(F45*(12/F32))^2)^(1/2)))</f>
        <v>82.729946464570148</v>
      </c>
      <c r="G63" s="60"/>
      <c r="K63" s="24"/>
      <c r="L63" s="13"/>
      <c r="M63" s="13"/>
      <c r="N63" s="13"/>
      <c r="O63" s="13"/>
    </row>
    <row r="64" spans="1:15" ht="16.2" x14ac:dyDescent="0.35">
      <c r="A64" s="111" t="s">
        <v>42</v>
      </c>
      <c r="B64" s="30" t="s">
        <v>34</v>
      </c>
      <c r="C64" s="26" t="e">
        <f ca="1">IF(F32=0,"n/a",IF(B59&gt;C58,"n/a",200/(2+B10+((C58-$B$59)*24/F32)-SQRT(5*B10*(C58-$B$59)*12/F32+4*((C58-$B$59)*12/F32)^2))))</f>
        <v>#NUM!</v>
      </c>
      <c r="D64" s="26">
        <f ca="1">IF(F32=0,"n/a",IF(D59&gt;D45,0,200/(2+C10+((D45-$B$59)*24/F32)-SQRT(5*C10*(D45-$B$59)*12/F32+4*((D45-$B$59)*12/F32)^2))))</f>
        <v>80.107812591739332</v>
      </c>
      <c r="E64" s="26">
        <f ca="1">IF(F32=0,"n/a",IF(E59&gt;E45,0,200/(2+D10+((E45-$B$59)*24/F32)-SQRT(5*D10*(E45-$B$59)*12/F32+4*((E45-$B$59)*12/F32)^2))))</f>
        <v>80.84714315738762</v>
      </c>
      <c r="F64" s="26">
        <f ca="1">IF(F32=0,"n/a",IF(F59&gt;F45,0,200/(2+E10+((F45-$B$59)*24/F32)-SQRT(5*E10*(F45-$B$59)*12/F32+4*((F45-$B$59)*12/F32)^2))))</f>
        <v>81.023127712735914</v>
      </c>
      <c r="G64" s="60"/>
      <c r="K64" s="24"/>
      <c r="L64" s="6"/>
      <c r="M64" s="13"/>
      <c r="N64" s="13"/>
      <c r="O64" s="13"/>
    </row>
    <row r="65" spans="1:15" ht="15.6" x14ac:dyDescent="0.3">
      <c r="A65" s="112" t="s">
        <v>36</v>
      </c>
      <c r="B65" s="82" t="s">
        <v>34</v>
      </c>
      <c r="C65" s="83" t="s">
        <v>34</v>
      </c>
      <c r="D65" s="84">
        <f>IF(F20-F19=0,"n/a",200/(C10+2*D44*12/(F20-F19)+2-SQRT(5*C10*D44*12/(F20-F19)+4*(D44*12/(F20-F19))^2)))</f>
        <v>77</v>
      </c>
      <c r="E65" s="84">
        <f>IF((F20-F19)=0,"n/a",200/(D10+2*E44*12/(F20-F19)+2-SQRT(5*D10*E44*12/(F20-F19)+4*(E44*12/(F20-F19))^2)))</f>
        <v>77</v>
      </c>
      <c r="F65" s="84">
        <f>IF((F20-F19)=0,"n/a",200/(E10+2*F44*12/(F20-F19)+2-SQRT(5*E10*F44*12/(F20-F19)+4*(F44*12/(F20-F19))^2)))</f>
        <v>76.999999999999943</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2</v>
      </c>
      <c r="G67" s="58"/>
      <c r="K67" s="24"/>
      <c r="L67" s="6"/>
      <c r="M67" s="13"/>
      <c r="N67" s="13"/>
      <c r="O67" s="13"/>
    </row>
    <row r="68" spans="1:15" ht="30.6" customHeight="1" x14ac:dyDescent="0.3">
      <c r="A68" s="59" t="s">
        <v>77</v>
      </c>
      <c r="B68" s="174"/>
      <c r="C68" s="369" t="str">
        <f>IF(F67=1,"","Reason recharge not required (if No is selected):")</f>
        <v>Reason recharge not required (if No is selected):</v>
      </c>
      <c r="D68" s="369"/>
      <c r="E68" s="370" t="s">
        <v>79</v>
      </c>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2.4999999999999994E-2</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2.4999999999999994E-2</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2.5000000000000001E-2</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No</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98"/>
      <c r="E91" s="398"/>
      <c r="F91" s="398"/>
      <c r="G91" s="399"/>
    </row>
    <row r="92" spans="1:15" s="49" customFormat="1" ht="31.2" customHeight="1" x14ac:dyDescent="0.3">
      <c r="A92" s="61" t="s">
        <v>81</v>
      </c>
      <c r="B92" s="62">
        <f>IF(D60&gt;0,D45-D59,"n/a")</f>
        <v>9.7025941983010816E-2</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t="s">
        <v>99</v>
      </c>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f ca="1">D64</f>
        <v>80.107812591739332</v>
      </c>
      <c r="C100" s="358" t="s">
        <v>223</v>
      </c>
      <c r="D100" s="359"/>
      <c r="E100" s="129">
        <f ca="1">IF(E41=0,0,(F41^0.8)*(((1000/IF(B100&gt;95,95,IF(B100&lt;50,50,B100)))-9)^0.7)/(1140*E41^0.5)*60)</f>
        <v>8.2655555841362229</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No</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8"/>
      <c r="E104" s="398"/>
      <c r="F104" s="398"/>
      <c r="G104" s="399"/>
    </row>
    <row r="105" spans="1:7" x14ac:dyDescent="0.3">
      <c r="A105" s="68" t="s">
        <v>104</v>
      </c>
      <c r="B105" s="419" t="s">
        <v>99</v>
      </c>
      <c r="C105" s="419"/>
      <c r="D105" s="419"/>
      <c r="E105" s="419"/>
      <c r="F105" s="419"/>
      <c r="G105" s="60"/>
    </row>
    <row r="106" spans="1:7" x14ac:dyDescent="0.3">
      <c r="A106" s="14"/>
      <c r="B106" s="13"/>
      <c r="C106" s="20" t="s">
        <v>105</v>
      </c>
      <c r="D106" s="175">
        <v>4.8</v>
      </c>
      <c r="E106" s="13"/>
      <c r="F106" s="13"/>
      <c r="G106" s="60"/>
    </row>
    <row r="107" spans="1:7" x14ac:dyDescent="0.3">
      <c r="A107" s="14"/>
      <c r="B107" s="13"/>
      <c r="C107" s="20" t="s">
        <v>107</v>
      </c>
      <c r="D107" s="175">
        <v>5.78</v>
      </c>
      <c r="E107" s="13"/>
      <c r="F107" s="13"/>
      <c r="G107" s="60"/>
    </row>
    <row r="108" spans="1:7" x14ac:dyDescent="0.3">
      <c r="A108" s="14"/>
      <c r="B108" s="13"/>
      <c r="C108" s="20" t="s">
        <v>106</v>
      </c>
      <c r="D108" s="175">
        <v>1.06</v>
      </c>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f>E65</f>
        <v>77</v>
      </c>
      <c r="C111" s="360" t="s">
        <v>225</v>
      </c>
      <c r="D111" s="361"/>
      <c r="E111" s="72">
        <f>IF(E40=0,0,(F40^0.8)*(((1000/IF(B111&gt;95,95,IF(B111&lt;50,50,B111)))-9)^0.7)/(1140*E40^0.5)*60)</f>
        <v>8.8631983709349011</v>
      </c>
      <c r="F111" s="413" t="s">
        <v>102</v>
      </c>
      <c r="G111" s="289"/>
    </row>
    <row r="112" spans="1:7" ht="28.8" customHeight="1" x14ac:dyDescent="0.3">
      <c r="A112" s="59" t="s">
        <v>91</v>
      </c>
      <c r="B112" s="71">
        <f ca="1">E64</f>
        <v>80.84714315738762</v>
      </c>
      <c r="C112" s="358" t="s">
        <v>223</v>
      </c>
      <c r="D112" s="359"/>
      <c r="E112" s="72">
        <f ca="1">IF(E41=0,0,(F41^0.8)*(((1000/IF(B112&gt;95,95,IF(B112&lt;50,50,B112)))-9)^0.7)/(1140*E41^0.5)*60)</f>
        <v>8.0749857346893315</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2</v>
      </c>
      <c r="G114" s="58"/>
    </row>
    <row r="115" spans="1:7" ht="28.8" customHeight="1" x14ac:dyDescent="0.3">
      <c r="A115" s="59" t="s">
        <v>77</v>
      </c>
      <c r="B115" s="126"/>
      <c r="C115" s="356" t="str">
        <f>IF(F114=1,"","Waiver (if No is selected):")</f>
        <v>Waiver (if No is selected):</v>
      </c>
      <c r="D115" s="356"/>
      <c r="E115" s="357" t="s">
        <v>51</v>
      </c>
      <c r="F115" s="357"/>
      <c r="G115" s="60"/>
    </row>
    <row r="116" spans="1:7" ht="43.2" customHeight="1" x14ac:dyDescent="0.3">
      <c r="A116" s="59" t="s">
        <v>80</v>
      </c>
      <c r="B116" s="27" t="str">
        <f>F61</f>
        <v>No</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f>F65</f>
        <v>76.999999999999943</v>
      </c>
      <c r="C123" s="360" t="s">
        <v>225</v>
      </c>
      <c r="D123" s="361"/>
      <c r="E123" s="72">
        <f>IF(E40=0,0,(F40^0.8)*(((1000/IF(B123&gt;95,95,IF(B123&lt;50,50,B123)))-9)^0.7)/(1140*E40^0.5)*60)</f>
        <v>8.8631983709349154</v>
      </c>
      <c r="F123" s="362" t="s">
        <v>102</v>
      </c>
      <c r="G123" s="289"/>
    </row>
    <row r="124" spans="1:7" ht="28.8" customHeight="1" x14ac:dyDescent="0.3">
      <c r="A124" s="59" t="s">
        <v>91</v>
      </c>
      <c r="B124" s="71">
        <f ca="1">F64</f>
        <v>81.023127712735914</v>
      </c>
      <c r="C124" s="358" t="s">
        <v>223</v>
      </c>
      <c r="D124" s="359"/>
      <c r="E124" s="72">
        <f ca="1">IF(E41=0,0,(F41^0.8)*(((1000/IF(B124&gt;95,95,IF(B124&lt;50,50,B124)))-9)^0.7)/(1140*E41^0.5)*60)</f>
        <v>8.0298565016887675</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95" priority="36">
      <formula>$F$67=2</formula>
    </cfRule>
  </conditionalFormatting>
  <conditionalFormatting sqref="E90:F90">
    <cfRule type="expression" dxfId="294" priority="35">
      <formula>$F$89=2</formula>
    </cfRule>
  </conditionalFormatting>
  <conditionalFormatting sqref="E103:F103">
    <cfRule type="expression" dxfId="293" priority="34">
      <formula>$F$102=2</formula>
    </cfRule>
  </conditionalFormatting>
  <conditionalFormatting sqref="E115:F115">
    <cfRule type="expression" dxfId="292" priority="33">
      <formula>$F$114=2</formula>
    </cfRule>
  </conditionalFormatting>
  <conditionalFormatting sqref="B105:F105 D108">
    <cfRule type="expression" dxfId="291" priority="32">
      <formula>$F$102=1</formula>
    </cfRule>
  </conditionalFormatting>
  <conditionalFormatting sqref="D106">
    <cfRule type="expression" dxfId="290" priority="31">
      <formula>$F$102=1</formula>
    </cfRule>
  </conditionalFormatting>
  <conditionalFormatting sqref="B117:F117 D120">
    <cfRule type="expression" dxfId="289" priority="30">
      <formula>$F$114=1</formula>
    </cfRule>
  </conditionalFormatting>
  <conditionalFormatting sqref="B82:D82 B83:B84 E82:E84">
    <cfRule type="expression" dxfId="288" priority="37">
      <formula>$F$79&gt;0</formula>
    </cfRule>
  </conditionalFormatting>
  <conditionalFormatting sqref="E97">
    <cfRule type="expression" dxfId="287" priority="29">
      <formula>$G$94=TRUE</formula>
    </cfRule>
  </conditionalFormatting>
  <conditionalFormatting sqref="D119">
    <cfRule type="expression" dxfId="286" priority="28">
      <formula>$F$114=1</formula>
    </cfRule>
  </conditionalFormatting>
  <conditionalFormatting sqref="D118">
    <cfRule type="expression" dxfId="285" priority="27">
      <formula>$F$114=1</formula>
    </cfRule>
  </conditionalFormatting>
  <conditionalFormatting sqref="D107">
    <cfRule type="expression" dxfId="284" priority="26">
      <formula>$F$102=1</formula>
    </cfRule>
  </conditionalFormatting>
  <conditionalFormatting sqref="C64">
    <cfRule type="expression" dxfId="283" priority="25">
      <formula>$C$64="n/a"</formula>
    </cfRule>
  </conditionalFormatting>
  <conditionalFormatting sqref="B82:E84">
    <cfRule type="expression" dxfId="282" priority="24">
      <formula>$F$79="N/A"</formula>
    </cfRule>
  </conditionalFormatting>
  <conditionalFormatting sqref="C61">
    <cfRule type="expression" dxfId="281" priority="21">
      <formula>C61="n/a"</formula>
    </cfRule>
    <cfRule type="expression" dxfId="280" priority="22">
      <formula>C61="No"</formula>
    </cfRule>
    <cfRule type="expression" dxfId="279" priority="23">
      <formula>C61="Yes"</formula>
    </cfRule>
  </conditionalFormatting>
  <conditionalFormatting sqref="B61">
    <cfRule type="expression" dxfId="278" priority="18">
      <formula>B61="n/a"</formula>
    </cfRule>
    <cfRule type="expression" dxfId="277" priority="19">
      <formula>B61="No"</formula>
    </cfRule>
    <cfRule type="expression" dxfId="276" priority="20">
      <formula>B61="Yes"</formula>
    </cfRule>
  </conditionalFormatting>
  <conditionalFormatting sqref="D61:F61">
    <cfRule type="expression" dxfId="275" priority="15">
      <formula>D61="n/a"</formula>
    </cfRule>
    <cfRule type="expression" dxfId="274" priority="16">
      <formula>D61="No"</formula>
    </cfRule>
    <cfRule type="expression" dxfId="273" priority="17">
      <formula>D61="Yes"</formula>
    </cfRule>
  </conditionalFormatting>
  <conditionalFormatting sqref="B70">
    <cfRule type="expression" dxfId="272" priority="12">
      <formula>B70="n/a"</formula>
    </cfRule>
    <cfRule type="expression" dxfId="271" priority="13">
      <formula>B70="No"</formula>
    </cfRule>
    <cfRule type="expression" dxfId="270" priority="14">
      <formula>B70="Yes"</formula>
    </cfRule>
  </conditionalFormatting>
  <conditionalFormatting sqref="B91">
    <cfRule type="expression" dxfId="269" priority="9">
      <formula>B91="n/a"</formula>
    </cfRule>
    <cfRule type="expression" dxfId="268" priority="10">
      <formula>B91="No"</formula>
    </cfRule>
    <cfRule type="expression" dxfId="267" priority="11">
      <formula>B91="Yes"</formula>
    </cfRule>
  </conditionalFormatting>
  <conditionalFormatting sqref="B104">
    <cfRule type="expression" dxfId="266" priority="6">
      <formula>B104="n/a"</formula>
    </cfRule>
    <cfRule type="expression" dxfId="265" priority="7">
      <formula>B104="No"</formula>
    </cfRule>
    <cfRule type="expression" dxfId="264" priority="8">
      <formula>B104="Yes"</formula>
    </cfRule>
  </conditionalFormatting>
  <conditionalFormatting sqref="B116">
    <cfRule type="expression" dxfId="263" priority="3">
      <formula>B116="n/a"</formula>
    </cfRule>
    <cfRule type="expression" dxfId="262" priority="4">
      <formula>B116="No"</formula>
    </cfRule>
    <cfRule type="expression" dxfId="261" priority="5">
      <formula>B116="Yes"</formula>
    </cfRule>
  </conditionalFormatting>
  <conditionalFormatting sqref="F75">
    <cfRule type="expression" dxfId="260" priority="2">
      <formula>$E$75&gt;=5%</formula>
    </cfRule>
  </conditionalFormatting>
  <conditionalFormatting sqref="F76">
    <cfRule type="expression" dxfId="259" priority="1">
      <formula>$E$76&gt;0</formula>
    </cfRule>
  </conditionalFormatting>
  <dataValidations count="2">
    <dataValidation type="decimal" allowBlank="1" showInputMessage="1" showErrorMessage="1" errorTitle="Invalid Latitude!" error="You've entered a latitude that is not in Vermont." sqref="D5:F5" xr:uid="{E7E0F0AB-504A-466F-AF8A-58A190D362ED}">
      <formula1>42.72</formula1>
      <formula2>45.02</formula2>
    </dataValidation>
    <dataValidation type="decimal" allowBlank="1" showInputMessage="1" showErrorMessage="1" errorTitle="Invalid Longitude" error="You've entered a longitude outside of Vermont.  Longitude values in VT should always be negative." sqref="D6:F6" xr:uid="{2C6278E4-F2BA-4F80-BDB3-B4AA90A37FB6}">
      <formula1>-73.732</formula1>
      <formula2>-71.46</formula2>
    </dataValidation>
  </dataValidations>
  <hyperlinks>
    <hyperlink ref="E8" r:id="rId1" xr:uid="{2FEA8680-8CCA-4C76-ADE7-1962933B444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414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414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414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414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414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415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415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415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415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415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415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415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415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415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415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416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416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416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416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416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416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416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416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416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416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B36A16FE-0CDA-4E05-8D60-E05C7BDF192B}">
          <x14:formula1>
            <xm:f>Lookup!$G$11:$G$23</xm:f>
          </x14:formula1>
          <xm:sqref>A50:A54 C50:D54</xm:sqref>
        </x14:dataValidation>
        <x14:dataValidation type="list" allowBlank="1" showInputMessage="1" showErrorMessage="1" xr:uid="{448AD79D-BB5F-4D92-AA47-6290FC1E81BB}">
          <x14:formula1>
            <xm:f>Lookup!$G$12:$G$23</xm:f>
          </x14:formula1>
          <xm:sqref>A55</xm:sqref>
        </x14:dataValidation>
        <x14:dataValidation type="list" allowBlank="1" showInputMessage="1" showErrorMessage="1" xr:uid="{E7724E7C-D738-47E2-B50F-A73D34029013}">
          <x14:formula1>
            <xm:f>Lookup!$H$13:$H$19</xm:f>
          </x14:formula1>
          <xm:sqref>C82:D82 B82:B84</xm:sqref>
        </x14:dataValidation>
        <x14:dataValidation type="list" allowBlank="1" showInputMessage="1" showErrorMessage="1" xr:uid="{1AE8BBD9-4087-4F07-B3C4-7D32D0BC21D9}">
          <x14:formula1>
            <xm:f>Lookup!$J$4:$J$8</xm:f>
          </x14:formula1>
          <xm:sqref>E115:F115</xm:sqref>
        </x14:dataValidation>
        <x14:dataValidation type="list" allowBlank="1" showInputMessage="1" showErrorMessage="1" xr:uid="{67A0C842-72BA-4F51-A902-44B69890A27B}">
          <x14:formula1>
            <xm:f>Lookup!$I$4:$I$8</xm:f>
          </x14:formula1>
          <xm:sqref>E103:F103</xm:sqref>
        </x14:dataValidation>
        <x14:dataValidation type="list" allowBlank="1" showInputMessage="1" showErrorMessage="1" xr:uid="{70B51B40-BD76-48E4-9F8F-17897894B332}">
          <x14:formula1>
            <xm:f>Lookup!$H$4:$H$7</xm:f>
          </x14:formula1>
          <xm:sqref>E90:F90</xm:sqref>
        </x14:dataValidation>
        <x14:dataValidation type="list" allowBlank="1" showInputMessage="1" showErrorMessage="1" xr:uid="{7AD748AC-04C4-435B-9A21-48E21250EB2C}">
          <x14:formula1>
            <xm:f>Lookup!$G$3:$G$6</xm:f>
          </x14:formula1>
          <xm:sqref>E68:F68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2BFF-13E6-4E77-AD8E-8AE1FEB643BB}">
  <dimension ref="A1:O125"/>
  <sheetViews>
    <sheetView view="pageLayout" zoomScaleNormal="100" workbookViewId="0">
      <selection activeCell="B50" sqref="B50"/>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v>3</v>
      </c>
      <c r="E3" s="349"/>
      <c r="F3" s="350"/>
      <c r="G3" s="99"/>
      <c r="H3" s="22"/>
      <c r="I3" s="22"/>
      <c r="J3" s="22"/>
    </row>
    <row r="4" spans="1:15" x14ac:dyDescent="0.3">
      <c r="A4" s="14"/>
      <c r="B4" s="13"/>
      <c r="C4" s="45" t="s">
        <v>31</v>
      </c>
      <c r="D4" s="336" t="s">
        <v>255</v>
      </c>
      <c r="E4" s="337"/>
      <c r="F4" s="338"/>
      <c r="G4" s="99"/>
      <c r="H4" s="22"/>
      <c r="I4" s="22"/>
      <c r="J4" s="22"/>
    </row>
    <row r="5" spans="1:15" x14ac:dyDescent="0.3">
      <c r="A5" s="14"/>
      <c r="B5" s="13"/>
      <c r="C5" s="45" t="s">
        <v>172</v>
      </c>
      <c r="D5" s="339">
        <v>44.000030000000002</v>
      </c>
      <c r="E5" s="339"/>
      <c r="F5" s="339"/>
      <c r="G5" s="99"/>
      <c r="H5" s="22"/>
      <c r="I5" s="22"/>
      <c r="J5" s="22"/>
    </row>
    <row r="6" spans="1:15" ht="15.6" customHeight="1" x14ac:dyDescent="0.3">
      <c r="A6" s="14"/>
      <c r="B6" s="13"/>
      <c r="C6" s="46" t="s">
        <v>177</v>
      </c>
      <c r="D6" s="340">
        <v>-73.000029999999995</v>
      </c>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2.2000000000000002</v>
      </c>
      <c r="D10" s="217">
        <v>3.99</v>
      </c>
      <c r="E10" s="217">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8.75</v>
      </c>
      <c r="E17" s="215">
        <v>1.39</v>
      </c>
      <c r="F17" s="133">
        <f t="shared" si="0"/>
        <v>10.14</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10.14</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6.53</v>
      </c>
      <c r="E24" s="215">
        <v>1</v>
      </c>
      <c r="F24" s="133">
        <f>SUM(B24:E24)</f>
        <v>7.53</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0.54</v>
      </c>
      <c r="E26" s="215">
        <v>7.0000000000000007E-2</v>
      </c>
      <c r="F26" s="133">
        <f>SUM(B26:E26)</f>
        <v>0.6100000000000001</v>
      </c>
      <c r="G26" s="60"/>
      <c r="L26" s="6"/>
      <c r="M26" s="13"/>
      <c r="N26" s="13"/>
      <c r="O26" s="13"/>
    </row>
    <row r="27" spans="1:15" x14ac:dyDescent="0.3">
      <c r="A27" s="243" t="s">
        <v>243</v>
      </c>
      <c r="B27" s="248">
        <v>0</v>
      </c>
      <c r="C27" s="248">
        <v>0</v>
      </c>
      <c r="D27" s="248">
        <v>1.68</v>
      </c>
      <c r="E27" s="248">
        <v>0.32</v>
      </c>
      <c r="F27" s="249">
        <f>SUM(B27:E27)</f>
        <v>2</v>
      </c>
      <c r="G27" s="255">
        <f>IF(F32=0,0,F27/$F$32)</f>
        <v>0.1972386587771203</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10.14</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2</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1.87</v>
      </c>
      <c r="F40" s="171">
        <v>839</v>
      </c>
      <c r="G40" s="60"/>
      <c r="H40" s="1"/>
      <c r="I40" s="33"/>
      <c r="J40" s="33"/>
      <c r="K40" s="13"/>
      <c r="L40" s="6"/>
      <c r="M40" s="13"/>
      <c r="N40" s="13"/>
      <c r="O40" s="13"/>
    </row>
    <row r="41" spans="1:15" ht="14.4" customHeight="1" x14ac:dyDescent="0.3">
      <c r="A41" s="393"/>
      <c r="B41" s="394"/>
      <c r="C41" s="13"/>
      <c r="D41" s="20" t="s">
        <v>217</v>
      </c>
      <c r="E41" s="197">
        <v>2.2999999999999998</v>
      </c>
      <c r="F41" s="171">
        <v>839</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3'!$C$10-0.2*Lookup!$B$13)^2/('SN3'!$C$10+0.8*Lookup!$B$13)))*$B$15+IF($C$10&lt;0.2*Lookup!$B$14,0,(('SN3'!$C$10-0.2*Lookup!$B$14)^2/('SN3'!$C$10+0.8*Lookup!$B$14)))*$B$16+IF($C$10&lt;0.2*Lookup!$B$15,0,(('SN3'!$C$10-0.2*Lookup!$B$15)^2/('SN3'!$C$10+0.8*Lookup!$B$15)))*$B$17++IF($C$10&lt;0.2*Lookup!$B$17,0,(('SN3'!$C$10-0.2*Lookup!$B$17)^2/('SN3'!$C$10+0.8*Lookup!$B$17)))*$B$18+IF($C$10&lt;0.2*Lookup!$C$13,0,(('SN3'!$C$10-0.2*Lookup!$C$13)^2/('SN3'!C$10+0.8*Lookup!$C$13)))*$C$15+IF($C$10&lt;0.2*Lookup!$C$14,0,(('SN3'!$C$10-0.2*Lookup!$C$14)^2/('SN3'!$C$10+0.8*Lookup!$C$14)))*$C$16+IF($C$10&lt;0.2*Lookup!$C$15,0,(('SN3'!$C$10-0.2*Lookup!$C$15)^2/('SN3'!$C$10+0.8*Lookup!$C$15)))*$C$17+IF($C$10&lt;0.2*Lookup!$C$17,0,(('SN3'!$C$10-0.2*Lookup!$C$17)^2/('SN3'!$C$10+0.8*Lookup!$C$17)))*$C$18+IF($C$10&lt;0.2*Lookup!$D$13,0,(('SN3'!$C$10-0.2*Lookup!$D$13)^2/('SN3'!$C$10+0.8*Lookup!$D$13)))*$D$15+IF($C$10&lt;0.2*Lookup!$D$14,0,(('SN3'!$C$10-0.2*Lookup!$D$14)^2/('SN3'!$C$10+0.8*Lookup!$D$14)))*$D$16+IF($C$10&lt;0.2*Lookup!$D$15,0,(('SN3'!$C$10-0.2*Lookup!$D$15)^2/('SN3'!$C$10+0.8*Lookup!$D$15)))*$D$17+IF($C$10&lt;0.2*Lookup!$D$17,0,(('SN3'!$C$10-0.2*Lookup!$D$17)^2/('SN3'!$C$10+0.8*Lookup!$D$17)))*$D$18+IF($C$10&lt;0.2*Lookup!$E$13,0,(('SN3'!$C$10-0.2*Lookup!$E$13)^2/('SN3'!$C$10+0.8*Lookup!$E$13)))*$E$15+IF($C$10&lt;0.2*Lookup!$E$14,0,(('SN3'!$C$10-0.2*Lookup!$E$14)^2/('SN3'!$C$10+0.8*Lookup!$E$14)))*$E$16+IF($C$10&lt;0.2*Lookup!$E$15,0,(('SN3'!$C$10-0.2*Lookup!$E$15)^2/('SN3'!$C$10+0.8*Lookup!$E$15)))*$E$17+IF($C$10&lt;0.2*Lookup!$E$17,0,(('SN3'!$C$10-0.2*Lookup!$E$17)^2/('SN3'!$C$10+0.8*Lookup!$E$17)))*$E$18)/12</f>
        <v>0.29842792932632028</v>
      </c>
      <c r="E44" s="257">
        <f>(IF($D$10&lt;0.2*Lookup!$B$13,0,(('SN3'!$D$10-0.2*Lookup!$B$13)^2/('SN3'!$D$10+0.8*Lookup!$B$13)))*$B$15+IF($D$10&lt;0.2*Lookup!$B$14,0,(('SN3'!$D$10-0.2*Lookup!$B$14)^2/('SN3'!$D$10+0.8*Lookup!$B$14)))*$B$16+IF($D$10&lt;0.2*Lookup!$B$15,0,(('SN3'!$D$10-0.2*Lookup!$B$15)^2/('SN3'!$D$10+0.8*Lookup!$B$15)))*$B$17++IF($D$10&lt;0.2*Lookup!$B$17,0,(('SN3'!$D$10-0.2*Lookup!$B$17)^2/('SN3'!$D$10+0.8*Lookup!$B$17)))*$B$18+IF($D$10&lt;0.2*Lookup!$C$13,0,(('SN3'!$D$10-0.2*Lookup!$C$13)^2/('SN3'!C$10+0.8*Lookup!$C$13)))*$C$15+IF($D$10&lt;0.2*Lookup!$C$14,0,(('SN3'!$D$10-0.2*Lookup!$C$14)^2/('SN3'!$D$10+0.8*Lookup!$C$14)))*$C$16+IF($D$10&lt;0.2*Lookup!$C$15,0,(('SN3'!$D$10-0.2*Lookup!$C$15)^2/('SN3'!$D$10+0.8*Lookup!$C$15)))*$C$17+IF($D$10&lt;0.2*Lookup!$C$17,0,(('SN3'!$D$10-0.2*Lookup!$C$17)^2/('SN3'!$D$10+0.8*Lookup!$C$17)))*$C$18+IF($D$10&lt;0.2*Lookup!$D$13,0,(('SN3'!$D$10-0.2*Lookup!$D$13)^2/('SN3'!$D$10+0.8*Lookup!$D$13)))*$D$15+IF($D$10&lt;0.2*Lookup!$D$14,0,(('SN3'!$D$10-0.2*Lookup!$D$14)^2/('SN3'!$D$10+0.8*Lookup!$D$14)))*$D$16+IF($D$10&lt;0.2*Lookup!$D$15,0,(('SN3'!$D$10-0.2*Lookup!$D$15)^2/('SN3'!$D$10+0.8*Lookup!$D$15)))*$D$17+IF($D$10&lt;0.2*Lookup!$D$17,0,(('SN3'!$D$10-0.2*Lookup!$D$17)^2/('SN3'!$D$10+0.8*Lookup!$D$17)))*$D$18+IF($D$10&lt;0.2*Lookup!$E$13,0,(('SN3'!$D$10-0.2*Lookup!$E$13)^2/('SN3'!$D$10+0.8*Lookup!$E$13)))*$E$15+IF($D$10&lt;0.2*Lookup!$E$14,0,(('SN3'!$D$10-0.2*Lookup!$E$14)^2/('SN3'!$D$10+0.8*Lookup!$E$14)))*$E$16+IF($D$10&lt;0.2*Lookup!$E$15,0,(('SN3'!$D$10-0.2*Lookup!$E$15)^2/('SN3'!$D$10+0.8*Lookup!$E$15)))*$E$17++IF($D$10&lt;0.2*Lookup!$E$17,0,(('SN3'!$D$10-0.2*Lookup!$E$17)^2/('SN3'!$D$10+0.8*Lookup!$E$17)))*$E$18)/12</f>
        <v>1.1736695212434423</v>
      </c>
      <c r="F44" s="257">
        <f>(IF($E$10&lt;0.2*Lookup!$B$13,0,(('SN3'!$E$10-0.2*Lookup!$B$13)^2/('SN3'!$E$10+0.8*Lookup!$B$13)))*$B$15+IF($E$10&lt;0.2*Lookup!$B$14,0,(('SN3'!$E$10-0.2*Lookup!$B$14)^2/('SN3'!$E$10+0.8*Lookup!$B$14)))*$B$16+IF($E$10&lt;0.2*Lookup!$B$15,0,(('SN3'!$E$10-0.2*Lookup!$B$15)^2/('SN3'!$E$10+0.8*Lookup!$B$15)))*$B$17++IF($E$10&lt;0.2*Lookup!$B$17,0,(('SN3'!$E$10-0.2*Lookup!$B$17)^2/('SN3'!$E$10+0.8*Lookup!$B$17)))*$B$18+IF($E$10&lt;0.2*Lookup!$C$13,0,(('SN3'!$E$10-0.2*Lookup!$C$13)^2/('SN3'!C$10+0.8*Lookup!$C$13)))*$C$15+IF($E$10&lt;0.2*Lookup!$C$14,0,(('SN3'!$E$10-0.2*Lookup!$C$14)^2/('SN3'!$E$10+0.8*Lookup!$C$14)))*$C$16+IF($E$10&lt;0.2*Lookup!$C$15,0,(('SN3'!$E$10-0.2*Lookup!$C$15)^2/('SN3'!$E$10+0.8*Lookup!$C$15)))*$C$17+IF($E$10&lt;0.2*Lookup!$C$17,0,(('SN3'!$E$10-0.2*Lookup!$C$17)^2/('SN3'!$E$10+0.8*Lookup!$C$17)))*$C$18+IF($E$10&lt;0.2*Lookup!$D$13,0,(('SN3'!$E$10-0.2*Lookup!$D$13)^2/('SN3'!$E$10+0.8*Lookup!$D$13)))*$D$15+IF($E$10&lt;0.2*Lookup!$D$14,0,(('SN3'!$E$10-0.2*Lookup!$D$14)^2/('SN3'!$E$10+0.8*Lookup!$D$14)))*$D$16+IF($E$10&lt;0.2*Lookup!$D$15,0,(('SN3'!$E$10-0.2*Lookup!$D$15)^2/('SN3'!$E$10+0.8*Lookup!$D$15)))*$D$17+IF($E$10&lt;0.2*Lookup!$D$17,0,(('SN3'!$E$10-0.2*Lookup!$D$17)^2/('SN3'!$E$10+0.8*Lookup!$D$17)))*$D$18+IF($E$10&lt;0.2*Lookup!$E$13,0,(('SN3'!$E$10-0.2*Lookup!$E$13)^2/('SN3'!$E$10+0.8*Lookup!$E$13)))*$E$15+IF($E$10&lt;0.2*Lookup!$E$14,0,(('SN3'!$E$10-0.2*Lookup!$E$14)^2/('SN3'!$E$10+0.8*Lookup!$E$14)))*$E$16+IF($E$10&lt;0.2*Lookup!$E$15,0,(('SN3'!$E$10-0.2*Lookup!$E$15)^2/('SN3'!$E$10+0.8*Lookup!$E$15)))*$E$17++IF($E$10&lt;0.2*Lookup!$E$17,0,(('SN3'!$E$10-0.2*Lookup!$E$17)^2/('SN3'!$E$10+0.8*Lookup!$E$17)))*$E$18)/12</f>
        <v>2.5234219319605136</v>
      </c>
      <c r="G44" s="60"/>
      <c r="K44" s="13"/>
      <c r="L44" s="6"/>
      <c r="M44" s="13"/>
      <c r="N44" s="13"/>
      <c r="O44" s="13"/>
    </row>
    <row r="45" spans="1:15" ht="14.4" customHeight="1" x14ac:dyDescent="0.3">
      <c r="A45" s="383" t="s">
        <v>113</v>
      </c>
      <c r="B45" s="369"/>
      <c r="C45" s="384"/>
      <c r="D45" s="257">
        <f>(IF($C$10&lt;0.2*Lookup!$B$13,0,(('SN3'!$C$10-0.2*Lookup!$B$13)^2/('SN3'!$C$10+0.8*Lookup!$B$13)))*$B$24+IF($C$10&lt;0.2*Lookup!$B$14,0,(('SN3'!$C$10-0.2*Lookup!$B$14)^2/('SN3'!$C$10+0.8*Lookup!$B$14)))*$B$25+IF($C$10&lt;0.2*Lookup!$B$15,0,(('SN3'!$C$10-0.2*Lookup!$B$15)^2/('SN3'!$C$10+0.8*Lookup!$B$15)))*$B$26+IF($C$10&lt;0.2*Lookup!$C$13,0,(('SN3'!$C$10-0.2*Lookup!$C$13)^2/('SN3'!C$10+0.8*Lookup!$C$13)))*$C$24+IF($C$10&lt;0.2*Lookup!$C$14,0,(('SN3'!$C$10-0.2*Lookup!$C$14)^2/('SN3'!$C$10+0.8*Lookup!$C$14)))*$C$25+IF($C$10&lt;0.2*Lookup!$C$15,0,(('SN3'!$C$10-0.2*Lookup!$C$15)^2/('SN3'!$C$10+0.8*Lookup!$C$15)))*$C$26+IF($C$10&lt;0.2*Lookup!$D$13,0,(('SN3'!$C$10-0.2*Lookup!$D$13)^2/('SN3'!$C$10+0.8*Lookup!$D$13)))*$D$24+IF($C$10&lt;0.2*Lookup!$D$14,0,(('SN3'!$C$10-0.2*Lookup!$D$14)^2/('SN3'!$C$10+0.8*Lookup!$D$14)))*$D$25+IF($C$10&lt;0.2*Lookup!$D$15,0,(('SN3'!$C$10-0.2*Lookup!$D$15)^2/('SN3'!$C$10+0.8*Lookup!$D$15)))*$D$26+IF($C$10&lt;0.2*Lookup!$E$13,0,(('SN3'!$C$10-0.2*Lookup!$E$13)^2/('SN3'!$C$10+0.8*Lookup!$E$13)))*$E$24+IF($C$10&lt;0.2*Lookup!$E$14,0,(('SN3'!$C$10-0.2*Lookup!$E$14)^2/('SN3'!$C$10+0.8*Lookup!$E$14)))*$E$25+IF($C$10&lt;0.2*Lookup!$E$15,0,(('SN3'!$C$10-0.2*Lookup!$E$15)^2/('SN3'!$C$10+0.8*Lookup!$E$15)))*$E$26+(($C$10-0.2*Lookup!B17)^2/($C$10+0.8*Lookup!B17)*(F27+F28+F29+F30)))/12</f>
        <v>0.64727709628385488</v>
      </c>
      <c r="E45" s="257">
        <f>(IF($D$10&lt;0.2*Lookup!$B$13,0,(('SN3'!$D$10-0.2*Lookup!$B$13)^2/('SN3'!$D$10+0.8*Lookup!$B$13)))*$B$24+IF($D$10&lt;0.2*Lookup!$B$14,0,(('SN3'!$D$10-0.2*Lookup!$B$14)^2/('SN3'!$D$10+0.8*Lookup!$B$14)))*$B$25+IF($D$10&lt;0.2*Lookup!$B$15,0,(('SN3'!$D$10-0.2*Lookup!$B$15)^2/('SN3'!$D$10+0.8*Lookup!$B$15)))*$B$26+IF($D$10&lt;0.2*Lookup!$C$13,0,(('SN3'!$D$10-0.2*Lookup!$C$13)^2/('SN3'!C$10+0.8*Lookup!$C$13)))*$C$24+IF($D$10&lt;0.2*Lookup!$C$14,0,(('SN3'!$D$10-0.2*Lookup!$C$14)^2/('SN3'!$D$10+0.8*Lookup!$C$14)))*$C$25+IF($D$10&lt;0.2*Lookup!$C$15,0,(('SN3'!$D$10-0.2*Lookup!$C$15)^2/('SN3'!$D$10+0.8*Lookup!$C$15)))*$C$26+IF($D$10&lt;0.2*Lookup!$D$13,0,(('SN3'!$D$10-0.2*Lookup!$D$13)^2/('SN3'!$D$10+0.8*Lookup!$D$13)))*$D$24+IF($D$10&lt;0.2*Lookup!$D$14,0,(('SN3'!$D$10-0.2*Lookup!$D$14)^2/('SN3'!$D$10+0.8*Lookup!$D$14)))*$D$25+IF($D$10&lt;0.2*Lookup!$D$15,0,(('SN3'!$D$10-0.2*Lookup!$D$15)^2/('SN3'!$D$10+0.8*Lookup!$D$15)))*$D$26+IF($D$10&lt;0.2*Lookup!$E$13,0,(('SN3'!$D$10-0.2*Lookup!$E$13)^2/('SN3'!$D$10+0.8*Lookup!$E$13)))*$E$24+IF($D$10&lt;0.2*Lookup!$E$14,0,(('SN3'!$D$10-0.2*Lookup!$E$14)^2/('SN3'!$D$10+0.8*Lookup!$E$14)))*$E$25+IF($D$10&lt;0.2*Lookup!$E$15,0,(('SN3'!$D$10-0.2*Lookup!$E$15)^2/('SN3'!$D$10+0.8*Lookup!$E$15)))*$E$26+(($D$10-0.2*Lookup!B17)^2/($D$10+0.8*Lookup!B17)*(F27+F28+F29+F30)))/12</f>
        <v>1.7300324379527023</v>
      </c>
      <c r="F45" s="257">
        <f>(IF($E$10&lt;0.2*Lookup!$B$13,0,(('SN3'!$E$10-0.2*Lookup!$B$13)^2/('SN3'!$E$10+0.8*Lookup!$B$13)))*$B$24+IF($E$10&lt;0.2*Lookup!$B$14,0,(('SN3'!$E$10-0.2*Lookup!$B$14)^2/('SN3'!$E$10+0.8*Lookup!$B$14)))*$B$25+IF($E$10&lt;0.2*Lookup!$B$15,0,(('SN3'!$E$10-0.2*Lookup!$B$15)^2/('SN3'!$E$10+0.8*Lookup!$B$15)))*$B$26+IF($E$10&lt;0.2*Lookup!$C$13,0,(('SN3'!$E$10-0.2*Lookup!$C$13)^2/('SN3'!C$10+0.8*Lookup!$C$13)))*$C$24+IF($E$10&lt;0.2*Lookup!$C$14,0,(('SN3'!$E$10-0.2*Lookup!$C$14)^2/('SN3'!$E$10+0.8*Lookup!$C$14)))*$C$25+IF($E$10&lt;0.2*Lookup!$C$15,0,(('SN3'!$E$10-0.2*Lookup!$C$15)^2/('SN3'!$E$10+0.8*Lookup!$C$15)))*$C$26+IF($E$10&lt;0.2*Lookup!$D$13,0,(('SN3'!$E$10-0.2*Lookup!$D$13)^2/('SN3'!$E$10+0.8*Lookup!$D$13)))*$D$24+IF($E$10&lt;0.2*Lookup!$D$14,0,(('SN3'!$E$10-0.2*Lookup!$D$14)^2/('SN3'!$E$10+0.8*Lookup!$D$14)))*$D$25+IF($E$10&lt;0.2*Lookup!$D$15,0,(('SN3'!$E$10-0.2*Lookup!$D$15)^2/('SN3'!$E$10+0.8*Lookup!$D$15)))*$D$26+IF($E$10&lt;0.2*Lookup!$E$13,0,(('SN3'!$E$10-0.2*Lookup!$E$13)^2/('SN3'!$E$10+0.8*Lookup!$E$13)))*$E$24+IF($E$10&lt;0.2*Lookup!$E$14,0,(('SN3'!$E$10-0.2*Lookup!$E$14)^2/('SN3'!$E$10+0.8*Lookup!$E$14)))*$E$25+IF($E$10&lt;0.2*Lookup!$E$15,0,(('SN3'!$E$10-0.2*Lookup!$E$15)^2/('SN3'!$E$10+0.8*Lookup!$E$15)))*$E$26+(($E$10-0.2*Lookup!B17)^2/($E$10+0.8*Lookup!B17)*(F27+F28+F29+F30)))/12</f>
        <v>3.2366016830873483</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t="s">
        <v>65</v>
      </c>
      <c r="B50" s="172">
        <v>2.0199999999999999E-2</v>
      </c>
      <c r="C50" s="385"/>
      <c r="D50" s="386"/>
      <c r="E50" s="173"/>
      <c r="F50" s="13"/>
      <c r="G50" s="60"/>
      <c r="I50" s="113"/>
      <c r="J50" s="113"/>
      <c r="K50" s="113"/>
      <c r="L50" s="6"/>
      <c r="M50" s="13"/>
      <c r="N50" s="13"/>
      <c r="O50" s="13"/>
    </row>
    <row r="51" spans="1:15" x14ac:dyDescent="0.3">
      <c r="A51" s="194" t="s">
        <v>208</v>
      </c>
      <c r="B51" s="172">
        <v>0.01</v>
      </c>
      <c r="C51" s="385"/>
      <c r="D51" s="386"/>
      <c r="E51" s="173"/>
      <c r="F51" s="13"/>
      <c r="G51" s="60"/>
      <c r="I51" s="113"/>
      <c r="J51" s="113"/>
      <c r="K51" s="113"/>
      <c r="L51" s="6"/>
      <c r="M51" s="13"/>
      <c r="N51" s="13"/>
      <c r="O51" s="13"/>
    </row>
    <row r="52" spans="1:15" x14ac:dyDescent="0.3">
      <c r="A52" s="194" t="s">
        <v>212</v>
      </c>
      <c r="B52" s="172">
        <v>0.16400000000000001</v>
      </c>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3.4999999999999996E-2</v>
      </c>
      <c r="C58" s="259">
        <f>B77</f>
        <v>0.19225000000000003</v>
      </c>
      <c r="D58" s="258">
        <f>D45-D44+(C10-0.2*Lookup!$B$17)^2/(C10+0.8*Lookup!$B$17)*$F$28/12-IF(C10-0.2*Lookup!$B$15&lt;0,0,(C10-0.2*Lookup!$B$15)^2/(C10+0.8*Lookup!$B$15))*$B$28/12-IF(C10-0.2*Lookup!$C$15&lt;0,0,(C10-0.2*Lookup!$C$15)^2/(C10+0.8*Lookup!$C$15))*$C$28/12-IF(C10-0.2*Lookup!$D$15&lt;0,0,(C10-0.2*Lookup!$D$15)^2/(C10+0.8*Lookup!$D$15))*$D$28/12-IF(C10-0.2*Lookup!$E$15&lt;0,0,(C10-0.2*Lookup!$E$15)^2/(C10+0.8*Lookup!$E$15)*$E$28)/12</f>
        <v>0.3488491669575346</v>
      </c>
      <c r="E58" s="258">
        <f>E45-E44+(D10-0.2*Lookup!$B$17)^2/(D10+0.8*Lookup!$B$17)*$F$28/12-IF(D10-0.2*Lookup!$B$15&lt;0,0,(D10-0.2*Lookup!$B$15)^2/(D10+0.8*Lookup!$B$15))*$B$28/12-IF(D10-0.2*Lookup!$C$15&lt;0,0,(D10-0.2*Lookup!$C$15)^2/(D10+0.8*Lookup!$C$15))*$C$28/12-IF(D10-0.2*Lookup!$D$15&lt;0,0,(D10-0.2*Lookup!$D$15)^2/(D10+0.8*Lookup!$D$15))*$D$28/12-IF(D10-0.2*Lookup!$E$15&lt;0,0,(D10-0.2*Lookup!$E$15)^2/(D10+0.8*Lookup!$E$15)*$E$28)/12</f>
        <v>0.55636291670926008</v>
      </c>
      <c r="F58" s="258">
        <f>F45-F44+(E10-0.2*Lookup!$B$17)^2/(E10+0.8*Lookup!$B$17)*$F$28/12-IF(E10-0.2*Lookup!$B$15&lt;0,0,(E10-0.2*Lookup!$B$15)^2/(E10+0.8*Lookup!$B$15))*$B$28/12-IF(E10-0.2*Lookup!$C$15&lt;0,0,(E10-0.2*Lookup!$C$15)^2/(E10+0.8*Lookup!$C$15))*$C$28/12-IF(E10-0.2*Lookup!$D$15&lt;0,0,(E10-0.2*Lookup!$D$15)^2/(E10+0.8*Lookup!$D$15))*$D$28/12-IF(E10-0.2*Lookup!$E$15&lt;0,0,(E10-0.2*Lookup!$E$15)^2/(E10+0.8*Lookup!$E$15)*$E$28)/12</f>
        <v>0.71317975112683474</v>
      </c>
      <c r="G58" s="60"/>
      <c r="K58" s="13"/>
      <c r="L58" s="13"/>
      <c r="M58" s="13"/>
      <c r="N58" s="13"/>
      <c r="O58" s="13"/>
    </row>
    <row r="59" spans="1:15" ht="15.6" x14ac:dyDescent="0.3">
      <c r="A59" s="61" t="s">
        <v>72</v>
      </c>
      <c r="B59" s="260">
        <f ca="1">SUM($B$50:$B$54,$E$50:$E$54)-(SUMIF(A50:A54,"Green Roofs",B50:B54)+SUMIF(C50:D54,"Green Roofs",E50:E54))</f>
        <v>0.19420000000000001</v>
      </c>
      <c r="C59" s="260">
        <f ca="1">SUM($B$50:$B$54,$E$50:$E$54)-(SUMIF(A50:A54,"Green Roofs",B50:B54)+SUMIF(C50:D54,"Green Roofs",E50:E54))</f>
        <v>0.19420000000000001</v>
      </c>
      <c r="D59" s="260">
        <f>SUM($B$50:$B$54,$E$50:$E$54)</f>
        <v>0.19420000000000001</v>
      </c>
      <c r="E59" s="260">
        <f t="shared" ref="E59:F59" si="1">SUM($B$50:$B$54,$E$50:$E$54)</f>
        <v>0.19420000000000001</v>
      </c>
      <c r="F59" s="260">
        <f t="shared" si="1"/>
        <v>0.19420000000000001</v>
      </c>
      <c r="G59" s="60"/>
      <c r="K59" s="24"/>
      <c r="L59" s="13"/>
      <c r="M59" s="13"/>
      <c r="N59" s="13"/>
      <c r="O59" s="13"/>
    </row>
    <row r="60" spans="1:15" ht="15.6" x14ac:dyDescent="0.3">
      <c r="A60" s="81" t="s">
        <v>119</v>
      </c>
      <c r="B60" s="260">
        <f ca="1">IF((B58-B59)&gt;0,B58-B59,0)</f>
        <v>0</v>
      </c>
      <c r="C60" s="260">
        <f ca="1">IF((C58-C59)&gt;0,C58-C59,0)</f>
        <v>0</v>
      </c>
      <c r="D60" s="260">
        <f>IF((D58-D59)&gt;0,D58-D59,0)</f>
        <v>0.15464916695753458</v>
      </c>
      <c r="E60" s="260">
        <f>IF((E58-E59)&gt;0,E58-E59,0)</f>
        <v>0.36216291670926004</v>
      </c>
      <c r="F60" s="260">
        <f>IF((F58-F59)&gt;0,F58-F59,0)</f>
        <v>0.5189797511268347</v>
      </c>
      <c r="G60" s="60"/>
      <c r="K60" s="13"/>
      <c r="L60" s="13"/>
      <c r="M60" s="13"/>
      <c r="N60" s="13"/>
      <c r="O60" s="13"/>
    </row>
    <row r="61" spans="1:15" x14ac:dyDescent="0.3">
      <c r="A61" s="59" t="s">
        <v>44</v>
      </c>
      <c r="B61" s="27" t="str">
        <f ca="1">IF(B58=0,"n/a",IF(ROUND(B60,4)=0,"Yes","No"))</f>
        <v>Yes</v>
      </c>
      <c r="C61" s="27" t="str">
        <f ca="1">IF(ROUND(C60,4)=0,"Yes", "No")</f>
        <v>Yes</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87.128902959547176</v>
      </c>
      <c r="D63" s="28">
        <f>IF(F32=0,"n/a",200/((2+C10+D45*(24/F32))-(5*C10*D45*(12/F32)+4*(D45*(12/F32))^2)^(1/2)))</f>
        <v>81.640438136024017</v>
      </c>
      <c r="E63" s="28">
        <f>IF(F32=0,"n/a",200/((2+D10+E45*(24/F32))-(5*D10*E45*(12/F32)+4*(E45*(12/F32))^2)^(1/2)))</f>
        <v>80.176849041233922</v>
      </c>
      <c r="F63" s="28">
        <f>IF(F32=0,"n/a",200/((2+E10+F45*(24/F32))-(5*E10*F45*(12/F32)+4*(F45*(12/F32))^2)^(1/2)))</f>
        <v>79.510351498706967</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76.407038548424268</v>
      </c>
      <c r="E64" s="26">
        <f ca="1">IF(F32=0,"n/a",IF(E59&gt;E45,0,200/(2+D10+((E45-$B$59)*24/F32)-SQRT(5*D10*(E45-$B$59)*12/F32+4*((E45-$B$59)*12/F32)^2))))</f>
        <v>77.180813080425125</v>
      </c>
      <c r="F64" s="26">
        <f ca="1">IF(F32=0,"n/a",IF(F59&gt;F45,0,200/(2+E10+((F45-$B$59)*24/F32)-SQRT(5*E10*(F45-$B$59)*12/F32+4*((F45-$B$59)*12/F32)^2))))</f>
        <v>77.25011855203978</v>
      </c>
      <c r="G64" s="60"/>
      <c r="K64" s="24"/>
      <c r="L64" s="6"/>
      <c r="M64" s="13"/>
      <c r="N64" s="13"/>
      <c r="O64" s="13"/>
    </row>
    <row r="65" spans="1:15" ht="15.6" x14ac:dyDescent="0.3">
      <c r="A65" s="112" t="s">
        <v>36</v>
      </c>
      <c r="B65" s="82" t="s">
        <v>34</v>
      </c>
      <c r="C65" s="83" t="s">
        <v>34</v>
      </c>
      <c r="D65" s="84">
        <f>IF(F20-F19=0,"n/a",200/(C10+2*D44*12/(F20-F19)+2-SQRT(5*C10*D44*12/(F20-F19)+4*(D44*12/(F20-F19))^2)))</f>
        <v>71.108790253943326</v>
      </c>
      <c r="E65" s="84">
        <f>IF((F20-F19)=0,"n/a",200/(D10+2*E44*12/(F20-F19)+2-SQRT(5*D10*E44*12/(F20-F19)+4*(E44*12/(F20-F19))^2)))</f>
        <v>71.025323711037757</v>
      </c>
      <c r="F65" s="84">
        <f>IF((F20-F19)=0,"n/a",200/(E10+2*F44*12/(F20-F19)+2-SQRT(5*E10*F44*12/(F20-F19)+4*(F44*12/(F20-F19))^2)))</f>
        <v>70.985944889015897</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3.4999999999999996E-2</v>
      </c>
      <c r="C69" s="290"/>
      <c r="D69" s="290"/>
      <c r="E69" s="181"/>
      <c r="F69" s="181"/>
      <c r="G69" s="60"/>
      <c r="K69" s="24"/>
      <c r="L69" s="6"/>
      <c r="M69" s="13"/>
      <c r="N69" s="13"/>
      <c r="O69" s="13"/>
    </row>
    <row r="70" spans="1:15" ht="42.6" customHeight="1" x14ac:dyDescent="0.3">
      <c r="A70" s="291" t="s">
        <v>110</v>
      </c>
      <c r="B70" s="27" t="str">
        <f ca="1">B61</f>
        <v>Yes</v>
      </c>
      <c r="C70" s="371" t="str">
        <f ca="1">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0.19225000000000003</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0.19225000000000003</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0.19225000000000003</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No</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98"/>
      <c r="E91" s="398"/>
      <c r="F91" s="398"/>
      <c r="G91" s="399"/>
    </row>
    <row r="92" spans="1:15" s="49" customFormat="1" ht="31.2" customHeight="1" x14ac:dyDescent="0.3">
      <c r="A92" s="61" t="s">
        <v>81</v>
      </c>
      <c r="B92" s="62">
        <f>IF(D60&gt;0,D45-D59,"n/a")</f>
        <v>0.45307709628385484</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t="s">
        <v>99</v>
      </c>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f ca="1">D64</f>
        <v>76.407038548424268</v>
      </c>
      <c r="C100" s="358" t="s">
        <v>223</v>
      </c>
      <c r="D100" s="359"/>
      <c r="E100" s="129">
        <f ca="1">IF(E41=0,0,(F41^0.8)*(((1000/IF(B100&gt;95,95,IF(B100&lt;50,50,B100)))-9)^0.7)/(1140*E41^0.5)*60)</f>
        <v>20.297135881173926</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No</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8"/>
      <c r="E104" s="398"/>
      <c r="F104" s="398"/>
      <c r="G104" s="399"/>
    </row>
    <row r="105" spans="1:7" x14ac:dyDescent="0.3">
      <c r="A105" s="68" t="s">
        <v>104</v>
      </c>
      <c r="B105" s="419" t="s">
        <v>99</v>
      </c>
      <c r="C105" s="419"/>
      <c r="D105" s="419"/>
      <c r="E105" s="419"/>
      <c r="F105" s="419"/>
      <c r="G105" s="60"/>
    </row>
    <row r="106" spans="1:7" x14ac:dyDescent="0.3">
      <c r="A106" s="14"/>
      <c r="B106" s="13"/>
      <c r="C106" s="20" t="s">
        <v>105</v>
      </c>
      <c r="D106" s="175">
        <v>12.63</v>
      </c>
      <c r="E106" s="13"/>
      <c r="F106" s="13"/>
      <c r="G106" s="60"/>
    </row>
    <row r="107" spans="1:7" x14ac:dyDescent="0.3">
      <c r="A107" s="14"/>
      <c r="B107" s="13"/>
      <c r="C107" s="20" t="s">
        <v>107</v>
      </c>
      <c r="D107" s="175">
        <v>20.28</v>
      </c>
      <c r="E107" s="13"/>
      <c r="F107" s="13"/>
      <c r="G107" s="60"/>
    </row>
    <row r="108" spans="1:7" x14ac:dyDescent="0.3">
      <c r="A108" s="14"/>
      <c r="B108" s="13"/>
      <c r="C108" s="20" t="s">
        <v>106</v>
      </c>
      <c r="D108" s="175">
        <v>12.4</v>
      </c>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f>E65</f>
        <v>71.025323711037757</v>
      </c>
      <c r="C111" s="360" t="s">
        <v>225</v>
      </c>
      <c r="D111" s="361"/>
      <c r="E111" s="72">
        <f>IF(E40=0,0,(F40^0.8)*(((1000/IF(B111&gt;95,95,IF(B111&lt;50,50,B111)))-9)^0.7)/(1140*E40^0.5)*60)</f>
        <v>26.206496150199499</v>
      </c>
      <c r="F111" s="413" t="s">
        <v>102</v>
      </c>
      <c r="G111" s="289"/>
    </row>
    <row r="112" spans="1:7" ht="28.8" customHeight="1" x14ac:dyDescent="0.3">
      <c r="A112" s="59" t="s">
        <v>91</v>
      </c>
      <c r="B112" s="71">
        <f ca="1">E64</f>
        <v>77.180813080425125</v>
      </c>
      <c r="C112" s="358" t="s">
        <v>223</v>
      </c>
      <c r="D112" s="359"/>
      <c r="E112" s="72">
        <f ca="1">IF(E41=0,0,(F41^0.8)*(((1000/IF(B112&gt;95,95,IF(B112&lt;50,50,B112)))-9)^0.7)/(1140*E41^0.5)*60)</f>
        <v>19.838856393743281</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2</v>
      </c>
      <c r="G114" s="58"/>
    </row>
    <row r="115" spans="1:7" ht="28.8" customHeight="1" x14ac:dyDescent="0.3">
      <c r="A115" s="59" t="s">
        <v>77</v>
      </c>
      <c r="B115" s="126"/>
      <c r="C115" s="356" t="str">
        <f>IF(F114=1,"","Waiver (if No is selected):")</f>
        <v>Waiver (if No is selected):</v>
      </c>
      <c r="D115" s="356"/>
      <c r="E115" s="357" t="s">
        <v>51</v>
      </c>
      <c r="F115" s="357"/>
      <c r="G115" s="60"/>
    </row>
    <row r="116" spans="1:7" ht="43.2" customHeight="1" x14ac:dyDescent="0.3">
      <c r="A116" s="59" t="s">
        <v>80</v>
      </c>
      <c r="B116" s="27" t="str">
        <f>F61</f>
        <v>No</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f>F65</f>
        <v>70.985944889015897</v>
      </c>
      <c r="C123" s="360" t="s">
        <v>225</v>
      </c>
      <c r="D123" s="361"/>
      <c r="E123" s="72">
        <f>IF(E40=0,0,(F40^0.8)*(((1000/IF(B123&gt;95,95,IF(B123&lt;50,50,B123)))-9)^0.7)/(1140*E40^0.5)*60)</f>
        <v>26.234697137299605</v>
      </c>
      <c r="F123" s="362" t="s">
        <v>102</v>
      </c>
      <c r="G123" s="289"/>
    </row>
    <row r="124" spans="1:7" ht="28.8" customHeight="1" x14ac:dyDescent="0.3">
      <c r="A124" s="59" t="s">
        <v>91</v>
      </c>
      <c r="B124" s="71">
        <f ca="1">F64</f>
        <v>77.25011855203978</v>
      </c>
      <c r="C124" s="358" t="s">
        <v>223</v>
      </c>
      <c r="D124" s="359"/>
      <c r="E124" s="72">
        <f ca="1">IF(E41=0,0,(F41^0.8)*(((1000/IF(B124&gt;95,95,IF(B124&lt;50,50,B124)))-9)^0.7)/(1140*E41^0.5)*60)</f>
        <v>19.798039077341116</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58" priority="36">
      <formula>$F$67=2</formula>
    </cfRule>
  </conditionalFormatting>
  <conditionalFormatting sqref="E90:F90">
    <cfRule type="expression" dxfId="257" priority="35">
      <formula>$F$89=2</formula>
    </cfRule>
  </conditionalFormatting>
  <conditionalFormatting sqref="E103:F103">
    <cfRule type="expression" dxfId="256" priority="34">
      <formula>$F$102=2</formula>
    </cfRule>
  </conditionalFormatting>
  <conditionalFormatting sqref="E115:F115">
    <cfRule type="expression" dxfId="255" priority="33">
      <formula>$F$114=2</formula>
    </cfRule>
  </conditionalFormatting>
  <conditionalFormatting sqref="B105:F105 D108">
    <cfRule type="expression" dxfId="254" priority="32">
      <formula>$F$102=1</formula>
    </cfRule>
  </conditionalFormatting>
  <conditionalFormatting sqref="D106">
    <cfRule type="expression" dxfId="253" priority="31">
      <formula>$F$102=1</formula>
    </cfRule>
  </conditionalFormatting>
  <conditionalFormatting sqref="B117:F117 D120">
    <cfRule type="expression" dxfId="252" priority="30">
      <formula>$F$114=1</formula>
    </cfRule>
  </conditionalFormatting>
  <conditionalFormatting sqref="B82:D82 B83:B84 E82:E84">
    <cfRule type="expression" dxfId="251" priority="37">
      <formula>$F$79&gt;0</formula>
    </cfRule>
  </conditionalFormatting>
  <conditionalFormatting sqref="E97">
    <cfRule type="expression" dxfId="250" priority="29">
      <formula>$G$94=TRUE</formula>
    </cfRule>
  </conditionalFormatting>
  <conditionalFormatting sqref="D119">
    <cfRule type="expression" dxfId="249" priority="28">
      <formula>$F$114=1</formula>
    </cfRule>
  </conditionalFormatting>
  <conditionalFormatting sqref="D118">
    <cfRule type="expression" dxfId="248" priority="27">
      <formula>$F$114=1</formula>
    </cfRule>
  </conditionalFormatting>
  <conditionalFormatting sqref="D107">
    <cfRule type="expression" dxfId="247" priority="26">
      <formula>$F$102=1</formula>
    </cfRule>
  </conditionalFormatting>
  <conditionalFormatting sqref="C64">
    <cfRule type="expression" dxfId="246" priority="25">
      <formula>$C$64="n/a"</formula>
    </cfRule>
  </conditionalFormatting>
  <conditionalFormatting sqref="B82:E84">
    <cfRule type="expression" dxfId="245" priority="24">
      <formula>$F$79="N/A"</formula>
    </cfRule>
  </conditionalFormatting>
  <conditionalFormatting sqref="C61">
    <cfRule type="expression" dxfId="244" priority="21">
      <formula>C61="n/a"</formula>
    </cfRule>
    <cfRule type="expression" dxfId="243" priority="22">
      <formula>C61="No"</formula>
    </cfRule>
    <cfRule type="expression" dxfId="242" priority="23">
      <formula>C61="Yes"</formula>
    </cfRule>
  </conditionalFormatting>
  <conditionalFormatting sqref="B61">
    <cfRule type="expression" dxfId="241" priority="18">
      <formula>B61="n/a"</formula>
    </cfRule>
    <cfRule type="expression" dxfId="240" priority="19">
      <formula>B61="No"</formula>
    </cfRule>
    <cfRule type="expression" dxfId="239" priority="20">
      <formula>B61="Yes"</formula>
    </cfRule>
  </conditionalFormatting>
  <conditionalFormatting sqref="D61:F61">
    <cfRule type="expression" dxfId="238" priority="15">
      <formula>D61="n/a"</formula>
    </cfRule>
    <cfRule type="expression" dxfId="237" priority="16">
      <formula>D61="No"</formula>
    </cfRule>
    <cfRule type="expression" dxfId="236" priority="17">
      <formula>D61="Yes"</formula>
    </cfRule>
  </conditionalFormatting>
  <conditionalFormatting sqref="B70">
    <cfRule type="expression" dxfId="235" priority="12">
      <formula>B70="n/a"</formula>
    </cfRule>
    <cfRule type="expression" dxfId="234" priority="13">
      <formula>B70="No"</formula>
    </cfRule>
    <cfRule type="expression" dxfId="233" priority="14">
      <formula>B70="Yes"</formula>
    </cfRule>
  </conditionalFormatting>
  <conditionalFormatting sqref="B91">
    <cfRule type="expression" dxfId="232" priority="9">
      <formula>B91="n/a"</formula>
    </cfRule>
    <cfRule type="expression" dxfId="231" priority="10">
      <formula>B91="No"</formula>
    </cfRule>
    <cfRule type="expression" dxfId="230" priority="11">
      <formula>B91="Yes"</formula>
    </cfRule>
  </conditionalFormatting>
  <conditionalFormatting sqref="B104">
    <cfRule type="expression" dxfId="229" priority="6">
      <formula>B104="n/a"</formula>
    </cfRule>
    <cfRule type="expression" dxfId="228" priority="7">
      <formula>B104="No"</formula>
    </cfRule>
    <cfRule type="expression" dxfId="227" priority="8">
      <formula>B104="Yes"</formula>
    </cfRule>
  </conditionalFormatting>
  <conditionalFormatting sqref="B116">
    <cfRule type="expression" dxfId="226" priority="3">
      <formula>B116="n/a"</formula>
    </cfRule>
    <cfRule type="expression" dxfId="225" priority="4">
      <formula>B116="No"</formula>
    </cfRule>
    <cfRule type="expression" dxfId="224" priority="5">
      <formula>B116="Yes"</formula>
    </cfRule>
  </conditionalFormatting>
  <conditionalFormatting sqref="F75">
    <cfRule type="expression" dxfId="223" priority="2">
      <formula>$E$75&gt;=5%</formula>
    </cfRule>
  </conditionalFormatting>
  <conditionalFormatting sqref="F76">
    <cfRule type="expression" dxfId="222" priority="1">
      <formula>$E$76&gt;0</formula>
    </cfRule>
  </conditionalFormatting>
  <dataValidations count="2">
    <dataValidation type="decimal" allowBlank="1" showInputMessage="1" showErrorMessage="1" errorTitle="Invalid Latitude!" error="You've entered a latitude that is not in Vermont." sqref="D5:F5" xr:uid="{A1CA8391-A82E-4D1B-9B3E-11ECCC5A5578}">
      <formula1>42.72</formula1>
      <formula2>45.02</formula2>
    </dataValidation>
    <dataValidation type="decimal" allowBlank="1" showInputMessage="1" showErrorMessage="1" errorTitle="Invalid Longitude" error="You've entered a longitude outside of Vermont.  Longitude values in VT should always be negative." sqref="D6:F6" xr:uid="{D6BBCD01-CA50-4C75-B057-650CA050499C}">
      <formula1>-73.732</formula1>
      <formula2>-71.46</formula2>
    </dataValidation>
  </dataValidations>
  <hyperlinks>
    <hyperlink ref="E8" r:id="rId1" xr:uid="{98CFCF2E-5189-4135-A599-4663C3F4C7EB}"/>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516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517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517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517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517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517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517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517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517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517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517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518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518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518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518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518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518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518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518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518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518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519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519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519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519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94E7E2F4-F261-4FDA-A33F-B2C778B4C8A2}">
          <x14:formula1>
            <xm:f>Lookup!$G$11:$G$23</xm:f>
          </x14:formula1>
          <xm:sqref>A50:A54 C50:D54</xm:sqref>
        </x14:dataValidation>
        <x14:dataValidation type="list" allowBlank="1" showInputMessage="1" showErrorMessage="1" xr:uid="{FBDE5CB3-02DD-472E-A866-BF57D5C891E0}">
          <x14:formula1>
            <xm:f>Lookup!$G$12:$G$23</xm:f>
          </x14:formula1>
          <xm:sqref>A55</xm:sqref>
        </x14:dataValidation>
        <x14:dataValidation type="list" allowBlank="1" showInputMessage="1" showErrorMessage="1" xr:uid="{C8510F75-D21D-490A-94F4-DA2B93A5C17E}">
          <x14:formula1>
            <xm:f>Lookup!$H$13:$H$19</xm:f>
          </x14:formula1>
          <xm:sqref>C82:D82 B82:B84</xm:sqref>
        </x14:dataValidation>
        <x14:dataValidation type="list" allowBlank="1" showInputMessage="1" showErrorMessage="1" xr:uid="{1A58042E-6670-46F1-81E8-EC76945A1AF9}">
          <x14:formula1>
            <xm:f>Lookup!$J$4:$J$8</xm:f>
          </x14:formula1>
          <xm:sqref>E115:F115</xm:sqref>
        </x14:dataValidation>
        <x14:dataValidation type="list" allowBlank="1" showInputMessage="1" showErrorMessage="1" xr:uid="{F2B96C40-4733-465B-9FEC-933B06E0BE80}">
          <x14:formula1>
            <xm:f>Lookup!$I$4:$I$8</xm:f>
          </x14:formula1>
          <xm:sqref>E103:F103</xm:sqref>
        </x14:dataValidation>
        <x14:dataValidation type="list" allowBlank="1" showInputMessage="1" showErrorMessage="1" xr:uid="{BF407C93-2FDC-4E95-9E76-AFECAE5CD966}">
          <x14:formula1>
            <xm:f>Lookup!$H$4:$H$7</xm:f>
          </x14:formula1>
          <xm:sqref>E90:F90</xm:sqref>
        </x14:dataValidation>
        <x14:dataValidation type="list" allowBlank="1" showInputMessage="1" showErrorMessage="1" xr:uid="{BD7F0710-3018-4E3D-A46A-156E0EF26063}">
          <x14:formula1>
            <xm:f>Lookup!$G$3:$G$6</xm:f>
          </x14:formula1>
          <xm:sqref>E68:F68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1E6E-349D-4F59-A478-857CEFD19477}">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4'!$C$10-0.2*Lookup!$B$13)^2/('SN4'!$C$10+0.8*Lookup!$B$13)))*$B$15+IF($C$10&lt;0.2*Lookup!$B$14,0,(('SN4'!$C$10-0.2*Lookup!$B$14)^2/('SN4'!$C$10+0.8*Lookup!$B$14)))*$B$16+IF($C$10&lt;0.2*Lookup!$B$15,0,(('SN4'!$C$10-0.2*Lookup!$B$15)^2/('SN4'!$C$10+0.8*Lookup!$B$15)))*$B$17++IF($C$10&lt;0.2*Lookup!$B$17,0,(('SN4'!$C$10-0.2*Lookup!$B$17)^2/('SN4'!$C$10+0.8*Lookup!$B$17)))*$B$18+IF($C$10&lt;0.2*Lookup!$C$13,0,(('SN4'!$C$10-0.2*Lookup!$C$13)^2/('SN4'!C$10+0.8*Lookup!$C$13)))*$C$15+IF($C$10&lt;0.2*Lookup!$C$14,0,(('SN4'!$C$10-0.2*Lookup!$C$14)^2/('SN4'!$C$10+0.8*Lookup!$C$14)))*$C$16+IF($C$10&lt;0.2*Lookup!$C$15,0,(('SN4'!$C$10-0.2*Lookup!$C$15)^2/('SN4'!$C$10+0.8*Lookup!$C$15)))*$C$17+IF($C$10&lt;0.2*Lookup!$C$17,0,(('SN4'!$C$10-0.2*Lookup!$C$17)^2/('SN4'!$C$10+0.8*Lookup!$C$17)))*$C$18+IF($C$10&lt;0.2*Lookup!$D$13,0,(('SN4'!$C$10-0.2*Lookup!$D$13)^2/('SN4'!$C$10+0.8*Lookup!$D$13)))*$D$15+IF($C$10&lt;0.2*Lookup!$D$14,0,(('SN4'!$C$10-0.2*Lookup!$D$14)^2/('SN4'!$C$10+0.8*Lookup!$D$14)))*$D$16+IF($C$10&lt;0.2*Lookup!$D$15,0,(('SN4'!$C$10-0.2*Lookup!$D$15)^2/('SN4'!$C$10+0.8*Lookup!$D$15)))*$D$17+IF($C$10&lt;0.2*Lookup!$D$17,0,(('SN4'!$C$10-0.2*Lookup!$D$17)^2/('SN4'!$C$10+0.8*Lookup!$D$17)))*$D$18+IF($C$10&lt;0.2*Lookup!$E$13,0,(('SN4'!$C$10-0.2*Lookup!$E$13)^2/('SN4'!$C$10+0.8*Lookup!$E$13)))*$E$15+IF($C$10&lt;0.2*Lookup!$E$14,0,(('SN4'!$C$10-0.2*Lookup!$E$14)^2/('SN4'!$C$10+0.8*Lookup!$E$14)))*$E$16+IF($C$10&lt;0.2*Lookup!$E$15,0,(('SN4'!$C$10-0.2*Lookup!$E$15)^2/('SN4'!$C$10+0.8*Lookup!$E$15)))*$E$17+IF($C$10&lt;0.2*Lookup!$E$17,0,(('SN4'!$C$10-0.2*Lookup!$E$17)^2/('SN4'!$C$10+0.8*Lookup!$E$17)))*$E$18)/12</f>
        <v>0</v>
      </c>
      <c r="E44" s="257">
        <f>(IF($D$10&lt;0.2*Lookup!$B$13,0,(('SN4'!$D$10-0.2*Lookup!$B$13)^2/('SN4'!$D$10+0.8*Lookup!$B$13)))*$B$15+IF($D$10&lt;0.2*Lookup!$B$14,0,(('SN4'!$D$10-0.2*Lookup!$B$14)^2/('SN4'!$D$10+0.8*Lookup!$B$14)))*$B$16+IF($D$10&lt;0.2*Lookup!$B$15,0,(('SN4'!$D$10-0.2*Lookup!$B$15)^2/('SN4'!$D$10+0.8*Lookup!$B$15)))*$B$17++IF($D$10&lt;0.2*Lookup!$B$17,0,(('SN4'!$D$10-0.2*Lookup!$B$17)^2/('SN4'!$D$10+0.8*Lookup!$B$17)))*$B$18+IF($D$10&lt;0.2*Lookup!$C$13,0,(('SN4'!$D$10-0.2*Lookup!$C$13)^2/('SN4'!C$10+0.8*Lookup!$C$13)))*$C$15+IF($D$10&lt;0.2*Lookup!$C$14,0,(('SN4'!$D$10-0.2*Lookup!$C$14)^2/('SN4'!$D$10+0.8*Lookup!$C$14)))*$C$16+IF($D$10&lt;0.2*Lookup!$C$15,0,(('SN4'!$D$10-0.2*Lookup!$C$15)^2/('SN4'!$D$10+0.8*Lookup!$C$15)))*$C$17+IF($D$10&lt;0.2*Lookup!$C$17,0,(('SN4'!$D$10-0.2*Lookup!$C$17)^2/('SN4'!$D$10+0.8*Lookup!$C$17)))*$C$18+IF($D$10&lt;0.2*Lookup!$D$13,0,(('SN4'!$D$10-0.2*Lookup!$D$13)^2/('SN4'!$D$10+0.8*Lookup!$D$13)))*$D$15+IF($D$10&lt;0.2*Lookup!$D$14,0,(('SN4'!$D$10-0.2*Lookup!$D$14)^2/('SN4'!$D$10+0.8*Lookup!$D$14)))*$D$16+IF($D$10&lt;0.2*Lookup!$D$15,0,(('SN4'!$D$10-0.2*Lookup!$D$15)^2/('SN4'!$D$10+0.8*Lookup!$D$15)))*$D$17+IF($D$10&lt;0.2*Lookup!$D$17,0,(('SN4'!$D$10-0.2*Lookup!$D$17)^2/('SN4'!$D$10+0.8*Lookup!$D$17)))*$D$18+IF($D$10&lt;0.2*Lookup!$E$13,0,(('SN4'!$D$10-0.2*Lookup!$E$13)^2/('SN4'!$D$10+0.8*Lookup!$E$13)))*$E$15+IF($D$10&lt;0.2*Lookup!$E$14,0,(('SN4'!$D$10-0.2*Lookup!$E$14)^2/('SN4'!$D$10+0.8*Lookup!$E$14)))*$E$16+IF($D$10&lt;0.2*Lookup!$E$15,0,(('SN4'!$D$10-0.2*Lookup!$E$15)^2/('SN4'!$D$10+0.8*Lookup!$E$15)))*$E$17++IF($D$10&lt;0.2*Lookup!$E$17,0,(('SN4'!$D$10-0.2*Lookup!$E$17)^2/('SN4'!$D$10+0.8*Lookup!$E$17)))*$E$18)/12</f>
        <v>0</v>
      </c>
      <c r="F44" s="257">
        <f>(IF($E$10&lt;0.2*Lookup!$B$13,0,(('SN4'!$E$10-0.2*Lookup!$B$13)^2/('SN4'!$E$10+0.8*Lookup!$B$13)))*$B$15+IF($E$10&lt;0.2*Lookup!$B$14,0,(('SN4'!$E$10-0.2*Lookup!$B$14)^2/('SN4'!$E$10+0.8*Lookup!$B$14)))*$B$16+IF($E$10&lt;0.2*Lookup!$B$15,0,(('SN4'!$E$10-0.2*Lookup!$B$15)^2/('SN4'!$E$10+0.8*Lookup!$B$15)))*$B$17++IF($E$10&lt;0.2*Lookup!$B$17,0,(('SN4'!$E$10-0.2*Lookup!$B$17)^2/('SN4'!$E$10+0.8*Lookup!$B$17)))*$B$18+IF($E$10&lt;0.2*Lookup!$C$13,0,(('SN4'!$E$10-0.2*Lookup!$C$13)^2/('SN4'!C$10+0.8*Lookup!$C$13)))*$C$15+IF($E$10&lt;0.2*Lookup!$C$14,0,(('SN4'!$E$10-0.2*Lookup!$C$14)^2/('SN4'!$E$10+0.8*Lookup!$C$14)))*$C$16+IF($E$10&lt;0.2*Lookup!$C$15,0,(('SN4'!$E$10-0.2*Lookup!$C$15)^2/('SN4'!$E$10+0.8*Lookup!$C$15)))*$C$17+IF($E$10&lt;0.2*Lookup!$C$17,0,(('SN4'!$E$10-0.2*Lookup!$C$17)^2/('SN4'!$E$10+0.8*Lookup!$C$17)))*$C$18+IF($E$10&lt;0.2*Lookup!$D$13,0,(('SN4'!$E$10-0.2*Lookup!$D$13)^2/('SN4'!$E$10+0.8*Lookup!$D$13)))*$D$15+IF($E$10&lt;0.2*Lookup!$D$14,0,(('SN4'!$E$10-0.2*Lookup!$D$14)^2/('SN4'!$E$10+0.8*Lookup!$D$14)))*$D$16+IF($E$10&lt;0.2*Lookup!$D$15,0,(('SN4'!$E$10-0.2*Lookup!$D$15)^2/('SN4'!$E$10+0.8*Lookup!$D$15)))*$D$17+IF($E$10&lt;0.2*Lookup!$D$17,0,(('SN4'!$E$10-0.2*Lookup!$D$17)^2/('SN4'!$E$10+0.8*Lookup!$D$17)))*$D$18+IF($E$10&lt;0.2*Lookup!$E$13,0,(('SN4'!$E$10-0.2*Lookup!$E$13)^2/('SN4'!$E$10+0.8*Lookup!$E$13)))*$E$15+IF($E$10&lt;0.2*Lookup!$E$14,0,(('SN4'!$E$10-0.2*Lookup!$E$14)^2/('SN4'!$E$10+0.8*Lookup!$E$14)))*$E$16+IF($E$10&lt;0.2*Lookup!$E$15,0,(('SN4'!$E$10-0.2*Lookup!$E$15)^2/('SN4'!$E$10+0.8*Lookup!$E$15)))*$E$17++IF($E$10&lt;0.2*Lookup!$E$17,0,(('SN4'!$E$10-0.2*Lookup!$E$17)^2/('SN4'!$E$10+0.8*Lookup!$E$17)))*$E$18)/12</f>
        <v>0</v>
      </c>
      <c r="G44" s="60"/>
      <c r="K44" s="13"/>
      <c r="L44" s="6"/>
      <c r="M44" s="13"/>
      <c r="N44" s="13"/>
      <c r="O44" s="13"/>
    </row>
    <row r="45" spans="1:15" ht="14.4" customHeight="1" x14ac:dyDescent="0.3">
      <c r="A45" s="383" t="s">
        <v>113</v>
      </c>
      <c r="B45" s="369"/>
      <c r="C45" s="384"/>
      <c r="D45" s="257">
        <f>(IF($C$10&lt;0.2*Lookup!$B$13,0,(('SN4'!$C$10-0.2*Lookup!$B$13)^2/('SN4'!$C$10+0.8*Lookup!$B$13)))*$B$24+IF($C$10&lt;0.2*Lookup!$B$14,0,(('SN4'!$C$10-0.2*Lookup!$B$14)^2/('SN4'!$C$10+0.8*Lookup!$B$14)))*$B$25+IF($C$10&lt;0.2*Lookup!$B$15,0,(('SN4'!$C$10-0.2*Lookup!$B$15)^2/('SN4'!$C$10+0.8*Lookup!$B$15)))*$B$26+IF($C$10&lt;0.2*Lookup!$C$13,0,(('SN4'!$C$10-0.2*Lookup!$C$13)^2/('SN4'!C$10+0.8*Lookup!$C$13)))*$C$24+IF($C$10&lt;0.2*Lookup!$C$14,0,(('SN4'!$C$10-0.2*Lookup!$C$14)^2/('SN4'!$C$10+0.8*Lookup!$C$14)))*$C$25+IF($C$10&lt;0.2*Lookup!$C$15,0,(('SN4'!$C$10-0.2*Lookup!$C$15)^2/('SN4'!$C$10+0.8*Lookup!$C$15)))*$C$26+IF($C$10&lt;0.2*Lookup!$D$13,0,(('SN4'!$C$10-0.2*Lookup!$D$13)^2/('SN4'!$C$10+0.8*Lookup!$D$13)))*$D$24+IF($C$10&lt;0.2*Lookup!$D$14,0,(('SN4'!$C$10-0.2*Lookup!$D$14)^2/('SN4'!$C$10+0.8*Lookup!$D$14)))*$D$25+IF($C$10&lt;0.2*Lookup!$D$15,0,(('SN4'!$C$10-0.2*Lookup!$D$15)^2/('SN4'!$C$10+0.8*Lookup!$D$15)))*$D$26+IF($C$10&lt;0.2*Lookup!$E$13,0,(('SN4'!$C$10-0.2*Lookup!$E$13)^2/('SN4'!$C$10+0.8*Lookup!$E$13)))*$E$24+IF($C$10&lt;0.2*Lookup!$E$14,0,(('SN4'!$C$10-0.2*Lookup!$E$14)^2/('SN4'!$C$10+0.8*Lookup!$E$14)))*$E$25+IF($C$10&lt;0.2*Lookup!$E$15,0,(('SN4'!$C$10-0.2*Lookup!$E$15)^2/('SN4'!$C$10+0.8*Lookup!$E$15)))*$E$26+(($C$10-0.2*Lookup!B17)^2/($C$10+0.8*Lookup!B17)*(F27+F28+F29+F30)))/12</f>
        <v>0</v>
      </c>
      <c r="E45" s="257">
        <f>(IF($D$10&lt;0.2*Lookup!$B$13,0,(('SN4'!$D$10-0.2*Lookup!$B$13)^2/('SN4'!$D$10+0.8*Lookup!$B$13)))*$B$24+IF($D$10&lt;0.2*Lookup!$B$14,0,(('SN4'!$D$10-0.2*Lookup!$B$14)^2/('SN4'!$D$10+0.8*Lookup!$B$14)))*$B$25+IF($D$10&lt;0.2*Lookup!$B$15,0,(('SN4'!$D$10-0.2*Lookup!$B$15)^2/('SN4'!$D$10+0.8*Lookup!$B$15)))*$B$26+IF($D$10&lt;0.2*Lookup!$C$13,0,(('SN4'!$D$10-0.2*Lookup!$C$13)^2/('SN4'!C$10+0.8*Lookup!$C$13)))*$C$24+IF($D$10&lt;0.2*Lookup!$C$14,0,(('SN4'!$D$10-0.2*Lookup!$C$14)^2/('SN4'!$D$10+0.8*Lookup!$C$14)))*$C$25+IF($D$10&lt;0.2*Lookup!$C$15,0,(('SN4'!$D$10-0.2*Lookup!$C$15)^2/('SN4'!$D$10+0.8*Lookup!$C$15)))*$C$26+IF($D$10&lt;0.2*Lookup!$D$13,0,(('SN4'!$D$10-0.2*Lookup!$D$13)^2/('SN4'!$D$10+0.8*Lookup!$D$13)))*$D$24+IF($D$10&lt;0.2*Lookup!$D$14,0,(('SN4'!$D$10-0.2*Lookup!$D$14)^2/('SN4'!$D$10+0.8*Lookup!$D$14)))*$D$25+IF($D$10&lt;0.2*Lookup!$D$15,0,(('SN4'!$D$10-0.2*Lookup!$D$15)^2/('SN4'!$D$10+0.8*Lookup!$D$15)))*$D$26+IF($D$10&lt;0.2*Lookup!$E$13,0,(('SN4'!$D$10-0.2*Lookup!$E$13)^2/('SN4'!$D$10+0.8*Lookup!$E$13)))*$E$24+IF($D$10&lt;0.2*Lookup!$E$14,0,(('SN4'!$D$10-0.2*Lookup!$E$14)^2/('SN4'!$D$10+0.8*Lookup!$E$14)))*$E$25+IF($D$10&lt;0.2*Lookup!$E$15,0,(('SN4'!$D$10-0.2*Lookup!$E$15)^2/('SN4'!$D$10+0.8*Lookup!$E$15)))*$E$26+(($D$10-0.2*Lookup!B17)^2/($D$10+0.8*Lookup!B17)*(F27+F28+F29+F30)))/12</f>
        <v>0</v>
      </c>
      <c r="F45" s="257">
        <f>(IF($E$10&lt;0.2*Lookup!$B$13,0,(('SN4'!$E$10-0.2*Lookup!$B$13)^2/('SN4'!$E$10+0.8*Lookup!$B$13)))*$B$24+IF($E$10&lt;0.2*Lookup!$B$14,0,(('SN4'!$E$10-0.2*Lookup!$B$14)^2/('SN4'!$E$10+0.8*Lookup!$B$14)))*$B$25+IF($E$10&lt;0.2*Lookup!$B$15,0,(('SN4'!$E$10-0.2*Lookup!$B$15)^2/('SN4'!$E$10+0.8*Lookup!$B$15)))*$B$26+IF($E$10&lt;0.2*Lookup!$C$13,0,(('SN4'!$E$10-0.2*Lookup!$C$13)^2/('SN4'!C$10+0.8*Lookup!$C$13)))*$C$24+IF($E$10&lt;0.2*Lookup!$C$14,0,(('SN4'!$E$10-0.2*Lookup!$C$14)^2/('SN4'!$E$10+0.8*Lookup!$C$14)))*$C$25+IF($E$10&lt;0.2*Lookup!$C$15,0,(('SN4'!$E$10-0.2*Lookup!$C$15)^2/('SN4'!$E$10+0.8*Lookup!$C$15)))*$C$26+IF($E$10&lt;0.2*Lookup!$D$13,0,(('SN4'!$E$10-0.2*Lookup!$D$13)^2/('SN4'!$E$10+0.8*Lookup!$D$13)))*$D$24+IF($E$10&lt;0.2*Lookup!$D$14,0,(('SN4'!$E$10-0.2*Lookup!$D$14)^2/('SN4'!$E$10+0.8*Lookup!$D$14)))*$D$25+IF($E$10&lt;0.2*Lookup!$D$15,0,(('SN4'!$E$10-0.2*Lookup!$D$15)^2/('SN4'!$E$10+0.8*Lookup!$D$15)))*$D$26+IF($E$10&lt;0.2*Lookup!$E$13,0,(('SN4'!$E$10-0.2*Lookup!$E$13)^2/('SN4'!$E$10+0.8*Lookup!$E$13)))*$E$24+IF($E$10&lt;0.2*Lookup!$E$14,0,(('SN4'!$E$10-0.2*Lookup!$E$14)^2/('SN4'!$E$10+0.8*Lookup!$E$14)))*$E$25+IF($E$10&lt;0.2*Lookup!$E$15,0,(('SN4'!$E$10-0.2*Lookup!$E$15)^2/('SN4'!$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21" priority="36">
      <formula>$F$67=2</formula>
    </cfRule>
  </conditionalFormatting>
  <conditionalFormatting sqref="E90:F90">
    <cfRule type="expression" dxfId="220" priority="35">
      <formula>$F$89=2</formula>
    </cfRule>
  </conditionalFormatting>
  <conditionalFormatting sqref="E103:F103">
    <cfRule type="expression" dxfId="219" priority="34">
      <formula>$F$102=2</formula>
    </cfRule>
  </conditionalFormatting>
  <conditionalFormatting sqref="E115:F115">
    <cfRule type="expression" dxfId="218" priority="33">
      <formula>$F$114=2</formula>
    </cfRule>
  </conditionalFormatting>
  <conditionalFormatting sqref="B105:F105 D108">
    <cfRule type="expression" dxfId="217" priority="32">
      <formula>$F$102=1</formula>
    </cfRule>
  </conditionalFormatting>
  <conditionalFormatting sqref="D106">
    <cfRule type="expression" dxfId="216" priority="31">
      <formula>$F$102=1</formula>
    </cfRule>
  </conditionalFormatting>
  <conditionalFormatting sqref="B117:F117 D120">
    <cfRule type="expression" dxfId="215" priority="30">
      <formula>$F$114=1</formula>
    </cfRule>
  </conditionalFormatting>
  <conditionalFormatting sqref="B82:D82 B83:B84 E82:E84">
    <cfRule type="expression" dxfId="214" priority="37">
      <formula>$F$79&gt;0</formula>
    </cfRule>
  </conditionalFormatting>
  <conditionalFormatting sqref="E97">
    <cfRule type="expression" dxfId="213" priority="29">
      <formula>$G$94=TRUE</formula>
    </cfRule>
  </conditionalFormatting>
  <conditionalFormatting sqref="D119">
    <cfRule type="expression" dxfId="212" priority="28">
      <formula>$F$114=1</formula>
    </cfRule>
  </conditionalFormatting>
  <conditionalFormatting sqref="D118">
    <cfRule type="expression" dxfId="211" priority="27">
      <formula>$F$114=1</formula>
    </cfRule>
  </conditionalFormatting>
  <conditionalFormatting sqref="D107">
    <cfRule type="expression" dxfId="210" priority="26">
      <formula>$F$102=1</formula>
    </cfRule>
  </conditionalFormatting>
  <conditionalFormatting sqref="C64">
    <cfRule type="expression" dxfId="209" priority="25">
      <formula>$C$64="n/a"</formula>
    </cfRule>
  </conditionalFormatting>
  <conditionalFormatting sqref="B82:E84">
    <cfRule type="expression" dxfId="208" priority="24">
      <formula>$F$79="N/A"</formula>
    </cfRule>
  </conditionalFormatting>
  <conditionalFormatting sqref="C61">
    <cfRule type="expression" dxfId="207" priority="21">
      <formula>C61="n/a"</formula>
    </cfRule>
    <cfRule type="expression" dxfId="206" priority="22">
      <formula>C61="No"</formula>
    </cfRule>
    <cfRule type="expression" dxfId="205" priority="23">
      <formula>C61="Yes"</formula>
    </cfRule>
  </conditionalFormatting>
  <conditionalFormatting sqref="B61">
    <cfRule type="expression" dxfId="204" priority="18">
      <formula>B61="n/a"</formula>
    </cfRule>
    <cfRule type="expression" dxfId="203" priority="19">
      <formula>B61="No"</formula>
    </cfRule>
    <cfRule type="expression" dxfId="202" priority="20">
      <formula>B61="Yes"</formula>
    </cfRule>
  </conditionalFormatting>
  <conditionalFormatting sqref="D61:F61">
    <cfRule type="expression" dxfId="201" priority="15">
      <formula>D61="n/a"</formula>
    </cfRule>
    <cfRule type="expression" dxfId="200" priority="16">
      <formula>D61="No"</formula>
    </cfRule>
    <cfRule type="expression" dxfId="199" priority="17">
      <formula>D61="Yes"</formula>
    </cfRule>
  </conditionalFormatting>
  <conditionalFormatting sqref="B70">
    <cfRule type="expression" dxfId="198" priority="12">
      <formula>B70="n/a"</formula>
    </cfRule>
    <cfRule type="expression" dxfId="197" priority="13">
      <formula>B70="No"</formula>
    </cfRule>
    <cfRule type="expression" dxfId="196" priority="14">
      <formula>B70="Yes"</formula>
    </cfRule>
  </conditionalFormatting>
  <conditionalFormatting sqref="B91">
    <cfRule type="expression" dxfId="195" priority="9">
      <formula>B91="n/a"</formula>
    </cfRule>
    <cfRule type="expression" dxfId="194" priority="10">
      <formula>B91="No"</formula>
    </cfRule>
    <cfRule type="expression" dxfId="193" priority="11">
      <formula>B91="Yes"</formula>
    </cfRule>
  </conditionalFormatting>
  <conditionalFormatting sqref="B104">
    <cfRule type="expression" dxfId="192" priority="6">
      <formula>B104="n/a"</formula>
    </cfRule>
    <cfRule type="expression" dxfId="191" priority="7">
      <formula>B104="No"</formula>
    </cfRule>
    <cfRule type="expression" dxfId="190" priority="8">
      <formula>B104="Yes"</formula>
    </cfRule>
  </conditionalFormatting>
  <conditionalFormatting sqref="B116">
    <cfRule type="expression" dxfId="189" priority="3">
      <formula>B116="n/a"</formula>
    </cfRule>
    <cfRule type="expression" dxfId="188" priority="4">
      <formula>B116="No"</formula>
    </cfRule>
    <cfRule type="expression" dxfId="187" priority="5">
      <formula>B116="Yes"</formula>
    </cfRule>
  </conditionalFormatting>
  <conditionalFormatting sqref="F75">
    <cfRule type="expression" dxfId="186" priority="2">
      <formula>$E$75&gt;=5%</formula>
    </cfRule>
  </conditionalFormatting>
  <conditionalFormatting sqref="F76">
    <cfRule type="expression" dxfId="185" priority="1">
      <formula>$E$76&gt;0</formula>
    </cfRule>
  </conditionalFormatting>
  <dataValidations count="2">
    <dataValidation type="decimal" allowBlank="1" showInputMessage="1" showErrorMessage="1" errorTitle="Invalid Latitude!" error="You've entered a latitude that is not in Vermont." sqref="D5:F5" xr:uid="{05385D70-E558-4B14-95BE-496B94C5270F}">
      <formula1>42.72</formula1>
      <formula2>45.02</formula2>
    </dataValidation>
    <dataValidation type="decimal" allowBlank="1" showInputMessage="1" showErrorMessage="1" errorTitle="Invalid Longitude" error="You've entered a longitude outside of Vermont.  Longitude values in VT should always be negative." sqref="D6:F6" xr:uid="{CD3A1159-2B3D-47AB-98B9-AF58D36DA0E8}">
      <formula1>-73.732</formula1>
      <formula2>-71.46</formula2>
    </dataValidation>
  </dataValidations>
  <hyperlinks>
    <hyperlink ref="E8" r:id="rId1" xr:uid="{C79C25E6-26BE-4C55-A4BB-C70F2FC597F7}"/>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619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619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619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619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619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619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619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620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620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620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620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620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620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620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620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620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620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621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621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621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621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621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621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621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621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D3B13B3F-AFE3-43E6-8335-1427213B13B6}">
          <x14:formula1>
            <xm:f>Lookup!$G$11:$G$23</xm:f>
          </x14:formula1>
          <xm:sqref>A50:A54 C50:D54</xm:sqref>
        </x14:dataValidation>
        <x14:dataValidation type="list" allowBlank="1" showInputMessage="1" showErrorMessage="1" xr:uid="{C86A5AAE-3388-450E-A4CA-350477B09342}">
          <x14:formula1>
            <xm:f>Lookup!$G$12:$G$23</xm:f>
          </x14:formula1>
          <xm:sqref>A55</xm:sqref>
        </x14:dataValidation>
        <x14:dataValidation type="list" allowBlank="1" showInputMessage="1" showErrorMessage="1" xr:uid="{A3C72F7C-E987-48B1-8942-33A04BEAC560}">
          <x14:formula1>
            <xm:f>Lookup!$H$13:$H$19</xm:f>
          </x14:formula1>
          <xm:sqref>C82:D82 B82:B84</xm:sqref>
        </x14:dataValidation>
        <x14:dataValidation type="list" allowBlank="1" showInputMessage="1" showErrorMessage="1" xr:uid="{B11A67FA-5EFA-435A-93E3-F83D3D4B1D7D}">
          <x14:formula1>
            <xm:f>Lookup!$J$4:$J$8</xm:f>
          </x14:formula1>
          <xm:sqref>E115:F115</xm:sqref>
        </x14:dataValidation>
        <x14:dataValidation type="list" allowBlank="1" showInputMessage="1" showErrorMessage="1" xr:uid="{5750B61A-84AC-4767-B1C5-F530AB031732}">
          <x14:formula1>
            <xm:f>Lookup!$I$4:$I$8</xm:f>
          </x14:formula1>
          <xm:sqref>E103:F103</xm:sqref>
        </x14:dataValidation>
        <x14:dataValidation type="list" allowBlank="1" showInputMessage="1" showErrorMessage="1" xr:uid="{840A1AF7-D914-478A-80E5-CDA02317ECC9}">
          <x14:formula1>
            <xm:f>Lookup!$H$4:$H$7</xm:f>
          </x14:formula1>
          <xm:sqref>E90:F90</xm:sqref>
        </x14:dataValidation>
        <x14:dataValidation type="list" allowBlank="1" showInputMessage="1" showErrorMessage="1" xr:uid="{94E0F6B2-6078-4FCD-BD96-3860699E5011}">
          <x14:formula1>
            <xm:f>Lookup!$G$3:$G$6</xm:f>
          </x14:formula1>
          <xm:sqref>E68:F68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A74C-80DD-4064-BBBD-F82055D5AA12}">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5'!$C$10-0.2*Lookup!$B$13)^2/('SN5'!$C$10+0.8*Lookup!$B$13)))*$B$15+IF($C$10&lt;0.2*Lookup!$B$14,0,(('SN5'!$C$10-0.2*Lookup!$B$14)^2/('SN5'!$C$10+0.8*Lookup!$B$14)))*$B$16+IF($C$10&lt;0.2*Lookup!$B$15,0,(('SN5'!$C$10-0.2*Lookup!$B$15)^2/('SN5'!$C$10+0.8*Lookup!$B$15)))*$B$17++IF($C$10&lt;0.2*Lookup!$B$17,0,(('SN5'!$C$10-0.2*Lookup!$B$17)^2/('SN5'!$C$10+0.8*Lookup!$B$17)))*$B$18+IF($C$10&lt;0.2*Lookup!$C$13,0,(('SN5'!$C$10-0.2*Lookup!$C$13)^2/('SN5'!C$10+0.8*Lookup!$C$13)))*$C$15+IF($C$10&lt;0.2*Lookup!$C$14,0,(('SN5'!$C$10-0.2*Lookup!$C$14)^2/('SN5'!$C$10+0.8*Lookup!$C$14)))*$C$16+IF($C$10&lt;0.2*Lookup!$C$15,0,(('SN5'!$C$10-0.2*Lookup!$C$15)^2/('SN5'!$C$10+0.8*Lookup!$C$15)))*$C$17+IF($C$10&lt;0.2*Lookup!$C$17,0,(('SN5'!$C$10-0.2*Lookup!$C$17)^2/('SN5'!$C$10+0.8*Lookup!$C$17)))*$C$18+IF($C$10&lt;0.2*Lookup!$D$13,0,(('SN5'!$C$10-0.2*Lookup!$D$13)^2/('SN5'!$C$10+0.8*Lookup!$D$13)))*$D$15+IF($C$10&lt;0.2*Lookup!$D$14,0,(('SN5'!$C$10-0.2*Lookup!$D$14)^2/('SN5'!$C$10+0.8*Lookup!$D$14)))*$D$16+IF($C$10&lt;0.2*Lookup!$D$15,0,(('SN5'!$C$10-0.2*Lookup!$D$15)^2/('SN5'!$C$10+0.8*Lookup!$D$15)))*$D$17+IF($C$10&lt;0.2*Lookup!$D$17,0,(('SN5'!$C$10-0.2*Lookup!$D$17)^2/('SN5'!$C$10+0.8*Lookup!$D$17)))*$D$18+IF($C$10&lt;0.2*Lookup!$E$13,0,(('SN5'!$C$10-0.2*Lookup!$E$13)^2/('SN5'!$C$10+0.8*Lookup!$E$13)))*$E$15+IF($C$10&lt;0.2*Lookup!$E$14,0,(('SN5'!$C$10-0.2*Lookup!$E$14)^2/('SN5'!$C$10+0.8*Lookup!$E$14)))*$E$16+IF($C$10&lt;0.2*Lookup!$E$15,0,(('SN5'!$C$10-0.2*Lookup!$E$15)^2/('SN5'!$C$10+0.8*Lookup!$E$15)))*$E$17+IF($C$10&lt;0.2*Lookup!$E$17,0,(('SN5'!$C$10-0.2*Lookup!$E$17)^2/('SN5'!$C$10+0.8*Lookup!$E$17)))*$E$18)/12</f>
        <v>0</v>
      </c>
      <c r="E44" s="257">
        <f>(IF($D$10&lt;0.2*Lookup!$B$13,0,(('SN5'!$D$10-0.2*Lookup!$B$13)^2/('SN5'!$D$10+0.8*Lookup!$B$13)))*$B$15+IF($D$10&lt;0.2*Lookup!$B$14,0,(('SN5'!$D$10-0.2*Lookup!$B$14)^2/('SN5'!$D$10+0.8*Lookup!$B$14)))*$B$16+IF($D$10&lt;0.2*Lookup!$B$15,0,(('SN5'!$D$10-0.2*Lookup!$B$15)^2/('SN5'!$D$10+0.8*Lookup!$B$15)))*$B$17++IF($D$10&lt;0.2*Lookup!$B$17,0,(('SN5'!$D$10-0.2*Lookup!$B$17)^2/('SN5'!$D$10+0.8*Lookup!$B$17)))*$B$18+IF($D$10&lt;0.2*Lookup!$C$13,0,(('SN5'!$D$10-0.2*Lookup!$C$13)^2/('SN5'!C$10+0.8*Lookup!$C$13)))*$C$15+IF($D$10&lt;0.2*Lookup!$C$14,0,(('SN5'!$D$10-0.2*Lookup!$C$14)^2/('SN5'!$D$10+0.8*Lookup!$C$14)))*$C$16+IF($D$10&lt;0.2*Lookup!$C$15,0,(('SN5'!$D$10-0.2*Lookup!$C$15)^2/('SN5'!$D$10+0.8*Lookup!$C$15)))*$C$17+IF($D$10&lt;0.2*Lookup!$C$17,0,(('SN5'!$D$10-0.2*Lookup!$C$17)^2/('SN5'!$D$10+0.8*Lookup!$C$17)))*$C$18+IF($D$10&lt;0.2*Lookup!$D$13,0,(('SN5'!$D$10-0.2*Lookup!$D$13)^2/('SN5'!$D$10+0.8*Lookup!$D$13)))*$D$15+IF($D$10&lt;0.2*Lookup!$D$14,0,(('SN5'!$D$10-0.2*Lookup!$D$14)^2/('SN5'!$D$10+0.8*Lookup!$D$14)))*$D$16+IF($D$10&lt;0.2*Lookup!$D$15,0,(('SN5'!$D$10-0.2*Lookup!$D$15)^2/('SN5'!$D$10+0.8*Lookup!$D$15)))*$D$17+IF($D$10&lt;0.2*Lookup!$D$17,0,(('SN5'!$D$10-0.2*Lookup!$D$17)^2/('SN5'!$D$10+0.8*Lookup!$D$17)))*$D$18+IF($D$10&lt;0.2*Lookup!$E$13,0,(('SN5'!$D$10-0.2*Lookup!$E$13)^2/('SN5'!$D$10+0.8*Lookup!$E$13)))*$E$15+IF($D$10&lt;0.2*Lookup!$E$14,0,(('SN5'!$D$10-0.2*Lookup!$E$14)^2/('SN5'!$D$10+0.8*Lookup!$E$14)))*$E$16+IF($D$10&lt;0.2*Lookup!$E$15,0,(('SN5'!$D$10-0.2*Lookup!$E$15)^2/('SN5'!$D$10+0.8*Lookup!$E$15)))*$E$17++IF($D$10&lt;0.2*Lookup!$E$17,0,(('SN5'!$D$10-0.2*Lookup!$E$17)^2/('SN5'!$D$10+0.8*Lookup!$E$17)))*$E$18)/12</f>
        <v>0</v>
      </c>
      <c r="F44" s="257">
        <f>(IF($E$10&lt;0.2*Lookup!$B$13,0,(('SN5'!$E$10-0.2*Lookup!$B$13)^2/('SN5'!$E$10+0.8*Lookup!$B$13)))*$B$15+IF($E$10&lt;0.2*Lookup!$B$14,0,(('SN5'!$E$10-0.2*Lookup!$B$14)^2/('SN5'!$E$10+0.8*Lookup!$B$14)))*$B$16+IF($E$10&lt;0.2*Lookup!$B$15,0,(('SN5'!$E$10-0.2*Lookup!$B$15)^2/('SN5'!$E$10+0.8*Lookup!$B$15)))*$B$17++IF($E$10&lt;0.2*Lookup!$B$17,0,(('SN5'!$E$10-0.2*Lookup!$B$17)^2/('SN5'!$E$10+0.8*Lookup!$B$17)))*$B$18+IF($E$10&lt;0.2*Lookup!$C$13,0,(('SN5'!$E$10-0.2*Lookup!$C$13)^2/('SN5'!C$10+0.8*Lookup!$C$13)))*$C$15+IF($E$10&lt;0.2*Lookup!$C$14,0,(('SN5'!$E$10-0.2*Lookup!$C$14)^2/('SN5'!$E$10+0.8*Lookup!$C$14)))*$C$16+IF($E$10&lt;0.2*Lookup!$C$15,0,(('SN5'!$E$10-0.2*Lookup!$C$15)^2/('SN5'!$E$10+0.8*Lookup!$C$15)))*$C$17+IF($E$10&lt;0.2*Lookup!$C$17,0,(('SN5'!$E$10-0.2*Lookup!$C$17)^2/('SN5'!$E$10+0.8*Lookup!$C$17)))*$C$18+IF($E$10&lt;0.2*Lookup!$D$13,0,(('SN5'!$E$10-0.2*Lookup!$D$13)^2/('SN5'!$E$10+0.8*Lookup!$D$13)))*$D$15+IF($E$10&lt;0.2*Lookup!$D$14,0,(('SN5'!$E$10-0.2*Lookup!$D$14)^2/('SN5'!$E$10+0.8*Lookup!$D$14)))*$D$16+IF($E$10&lt;0.2*Lookup!$D$15,0,(('SN5'!$E$10-0.2*Lookup!$D$15)^2/('SN5'!$E$10+0.8*Lookup!$D$15)))*$D$17+IF($E$10&lt;0.2*Lookup!$D$17,0,(('SN5'!$E$10-0.2*Lookup!$D$17)^2/('SN5'!$E$10+0.8*Lookup!$D$17)))*$D$18+IF($E$10&lt;0.2*Lookup!$E$13,0,(('SN5'!$E$10-0.2*Lookup!$E$13)^2/('SN5'!$E$10+0.8*Lookup!$E$13)))*$E$15+IF($E$10&lt;0.2*Lookup!$E$14,0,(('SN5'!$E$10-0.2*Lookup!$E$14)^2/('SN5'!$E$10+0.8*Lookup!$E$14)))*$E$16+IF($E$10&lt;0.2*Lookup!$E$15,0,(('SN5'!$E$10-0.2*Lookup!$E$15)^2/('SN5'!$E$10+0.8*Lookup!$E$15)))*$E$17++IF($E$10&lt;0.2*Lookup!$E$17,0,(('SN5'!$E$10-0.2*Lookup!$E$17)^2/('SN5'!$E$10+0.8*Lookup!$E$17)))*$E$18)/12</f>
        <v>0</v>
      </c>
      <c r="G44" s="60"/>
      <c r="K44" s="13"/>
      <c r="L44" s="6"/>
      <c r="M44" s="13"/>
      <c r="N44" s="13"/>
      <c r="O44" s="13"/>
    </row>
    <row r="45" spans="1:15" ht="14.4" customHeight="1" x14ac:dyDescent="0.3">
      <c r="A45" s="383" t="s">
        <v>113</v>
      </c>
      <c r="B45" s="369"/>
      <c r="C45" s="384"/>
      <c r="D45" s="257">
        <f>(IF($C$10&lt;0.2*Lookup!$B$13,0,(('SN5'!$C$10-0.2*Lookup!$B$13)^2/('SN5'!$C$10+0.8*Lookup!$B$13)))*$B$24+IF($C$10&lt;0.2*Lookup!$B$14,0,(('SN5'!$C$10-0.2*Lookup!$B$14)^2/('SN5'!$C$10+0.8*Lookup!$B$14)))*$B$25+IF($C$10&lt;0.2*Lookup!$B$15,0,(('SN5'!$C$10-0.2*Lookup!$B$15)^2/('SN5'!$C$10+0.8*Lookup!$B$15)))*$B$26+IF($C$10&lt;0.2*Lookup!$C$13,0,(('SN5'!$C$10-0.2*Lookup!$C$13)^2/('SN5'!C$10+0.8*Lookup!$C$13)))*$C$24+IF($C$10&lt;0.2*Lookup!$C$14,0,(('SN5'!$C$10-0.2*Lookup!$C$14)^2/('SN5'!$C$10+0.8*Lookup!$C$14)))*$C$25+IF($C$10&lt;0.2*Lookup!$C$15,0,(('SN5'!$C$10-0.2*Lookup!$C$15)^2/('SN5'!$C$10+0.8*Lookup!$C$15)))*$C$26+IF($C$10&lt;0.2*Lookup!$D$13,0,(('SN5'!$C$10-0.2*Lookup!$D$13)^2/('SN5'!$C$10+0.8*Lookup!$D$13)))*$D$24+IF($C$10&lt;0.2*Lookup!$D$14,0,(('SN5'!$C$10-0.2*Lookup!$D$14)^2/('SN5'!$C$10+0.8*Lookup!$D$14)))*$D$25+IF($C$10&lt;0.2*Lookup!$D$15,0,(('SN5'!$C$10-0.2*Lookup!$D$15)^2/('SN5'!$C$10+0.8*Lookup!$D$15)))*$D$26+IF($C$10&lt;0.2*Lookup!$E$13,0,(('SN5'!$C$10-0.2*Lookup!$E$13)^2/('SN5'!$C$10+0.8*Lookup!$E$13)))*$E$24+IF($C$10&lt;0.2*Lookup!$E$14,0,(('SN5'!$C$10-0.2*Lookup!$E$14)^2/('SN5'!$C$10+0.8*Lookup!$E$14)))*$E$25+IF($C$10&lt;0.2*Lookup!$E$15,0,(('SN5'!$C$10-0.2*Lookup!$E$15)^2/('SN5'!$C$10+0.8*Lookup!$E$15)))*$E$26+(($C$10-0.2*Lookup!B17)^2/($C$10+0.8*Lookup!B17)*(F27+F28+F29+F30)))/12</f>
        <v>0</v>
      </c>
      <c r="E45" s="257">
        <f>(IF($D$10&lt;0.2*Lookup!$B$13,0,(('SN5'!$D$10-0.2*Lookup!$B$13)^2/('SN5'!$D$10+0.8*Lookup!$B$13)))*$B$24+IF($D$10&lt;0.2*Lookup!$B$14,0,(('SN5'!$D$10-0.2*Lookup!$B$14)^2/('SN5'!$D$10+0.8*Lookup!$B$14)))*$B$25+IF($D$10&lt;0.2*Lookup!$B$15,0,(('SN5'!$D$10-0.2*Lookup!$B$15)^2/('SN5'!$D$10+0.8*Lookup!$B$15)))*$B$26+IF($D$10&lt;0.2*Lookup!$C$13,0,(('SN5'!$D$10-0.2*Lookup!$C$13)^2/('SN5'!C$10+0.8*Lookup!$C$13)))*$C$24+IF($D$10&lt;0.2*Lookup!$C$14,0,(('SN5'!$D$10-0.2*Lookup!$C$14)^2/('SN5'!$D$10+0.8*Lookup!$C$14)))*$C$25+IF($D$10&lt;0.2*Lookup!$C$15,0,(('SN5'!$D$10-0.2*Lookup!$C$15)^2/('SN5'!$D$10+0.8*Lookup!$C$15)))*$C$26+IF($D$10&lt;0.2*Lookup!$D$13,0,(('SN5'!$D$10-0.2*Lookup!$D$13)^2/('SN5'!$D$10+0.8*Lookup!$D$13)))*$D$24+IF($D$10&lt;0.2*Lookup!$D$14,0,(('SN5'!$D$10-0.2*Lookup!$D$14)^2/('SN5'!$D$10+0.8*Lookup!$D$14)))*$D$25+IF($D$10&lt;0.2*Lookup!$D$15,0,(('SN5'!$D$10-0.2*Lookup!$D$15)^2/('SN5'!$D$10+0.8*Lookup!$D$15)))*$D$26+IF($D$10&lt;0.2*Lookup!$E$13,0,(('SN5'!$D$10-0.2*Lookup!$E$13)^2/('SN5'!$D$10+0.8*Lookup!$E$13)))*$E$24+IF($D$10&lt;0.2*Lookup!$E$14,0,(('SN5'!$D$10-0.2*Lookup!$E$14)^2/('SN5'!$D$10+0.8*Lookup!$E$14)))*$E$25+IF($D$10&lt;0.2*Lookup!$E$15,0,(('SN5'!$D$10-0.2*Lookup!$E$15)^2/('SN5'!$D$10+0.8*Lookup!$E$15)))*$E$26+(($D$10-0.2*Lookup!B17)^2/($D$10+0.8*Lookup!B17)*(F27+F28+F29+F30)))/12</f>
        <v>0</v>
      </c>
      <c r="F45" s="257">
        <f>(IF($E$10&lt;0.2*Lookup!$B$13,0,(('SN5'!$E$10-0.2*Lookup!$B$13)^2/('SN5'!$E$10+0.8*Lookup!$B$13)))*$B$24+IF($E$10&lt;0.2*Lookup!$B$14,0,(('SN5'!$E$10-0.2*Lookup!$B$14)^2/('SN5'!$E$10+0.8*Lookup!$B$14)))*$B$25+IF($E$10&lt;0.2*Lookup!$B$15,0,(('SN5'!$E$10-0.2*Lookup!$B$15)^2/('SN5'!$E$10+0.8*Lookup!$B$15)))*$B$26+IF($E$10&lt;0.2*Lookup!$C$13,0,(('SN5'!$E$10-0.2*Lookup!$C$13)^2/('SN5'!C$10+0.8*Lookup!$C$13)))*$C$24+IF($E$10&lt;0.2*Lookup!$C$14,0,(('SN5'!$E$10-0.2*Lookup!$C$14)^2/('SN5'!$E$10+0.8*Lookup!$C$14)))*$C$25+IF($E$10&lt;0.2*Lookup!$C$15,0,(('SN5'!$E$10-0.2*Lookup!$C$15)^2/('SN5'!$E$10+0.8*Lookup!$C$15)))*$C$26+IF($E$10&lt;0.2*Lookup!$D$13,0,(('SN5'!$E$10-0.2*Lookup!$D$13)^2/('SN5'!$E$10+0.8*Lookup!$D$13)))*$D$24+IF($E$10&lt;0.2*Lookup!$D$14,0,(('SN5'!$E$10-0.2*Lookup!$D$14)^2/('SN5'!$E$10+0.8*Lookup!$D$14)))*$D$25+IF($E$10&lt;0.2*Lookup!$D$15,0,(('SN5'!$E$10-0.2*Lookup!$D$15)^2/('SN5'!$E$10+0.8*Lookup!$D$15)))*$D$26+IF($E$10&lt;0.2*Lookup!$E$13,0,(('SN5'!$E$10-0.2*Lookup!$E$13)^2/('SN5'!$E$10+0.8*Lookup!$E$13)))*$E$24+IF($E$10&lt;0.2*Lookup!$E$14,0,(('SN5'!$E$10-0.2*Lookup!$E$14)^2/('SN5'!$E$10+0.8*Lookup!$E$14)))*$E$25+IF($E$10&lt;0.2*Lookup!$E$15,0,(('SN5'!$E$10-0.2*Lookup!$E$15)^2/('SN5'!$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84" priority="36">
      <formula>$F$67=2</formula>
    </cfRule>
  </conditionalFormatting>
  <conditionalFormatting sqref="E90:F90">
    <cfRule type="expression" dxfId="183" priority="35">
      <formula>$F$89=2</formula>
    </cfRule>
  </conditionalFormatting>
  <conditionalFormatting sqref="E103:F103">
    <cfRule type="expression" dxfId="182" priority="34">
      <formula>$F$102=2</formula>
    </cfRule>
  </conditionalFormatting>
  <conditionalFormatting sqref="E115:F115">
    <cfRule type="expression" dxfId="181" priority="33">
      <formula>$F$114=2</formula>
    </cfRule>
  </conditionalFormatting>
  <conditionalFormatting sqref="B105:F105 D108">
    <cfRule type="expression" dxfId="180" priority="32">
      <formula>$F$102=1</formula>
    </cfRule>
  </conditionalFormatting>
  <conditionalFormatting sqref="D106">
    <cfRule type="expression" dxfId="179" priority="31">
      <formula>$F$102=1</formula>
    </cfRule>
  </conditionalFormatting>
  <conditionalFormatting sqref="B117:F117 D120">
    <cfRule type="expression" dxfId="178" priority="30">
      <formula>$F$114=1</formula>
    </cfRule>
  </conditionalFormatting>
  <conditionalFormatting sqref="B82:D82 B83:B84 E82:E84">
    <cfRule type="expression" dxfId="177" priority="37">
      <formula>$F$79&gt;0</formula>
    </cfRule>
  </conditionalFormatting>
  <conditionalFormatting sqref="E97">
    <cfRule type="expression" dxfId="176" priority="29">
      <formula>$G$94=TRUE</formula>
    </cfRule>
  </conditionalFormatting>
  <conditionalFormatting sqref="D119">
    <cfRule type="expression" dxfId="175" priority="28">
      <formula>$F$114=1</formula>
    </cfRule>
  </conditionalFormatting>
  <conditionalFormatting sqref="D118">
    <cfRule type="expression" dxfId="174" priority="27">
      <formula>$F$114=1</formula>
    </cfRule>
  </conditionalFormatting>
  <conditionalFormatting sqref="D107">
    <cfRule type="expression" dxfId="173" priority="26">
      <formula>$F$102=1</formula>
    </cfRule>
  </conditionalFormatting>
  <conditionalFormatting sqref="C64">
    <cfRule type="expression" dxfId="172" priority="25">
      <formula>$C$64="n/a"</formula>
    </cfRule>
  </conditionalFormatting>
  <conditionalFormatting sqref="B82:E84">
    <cfRule type="expression" dxfId="171" priority="24">
      <formula>$F$79="N/A"</formula>
    </cfRule>
  </conditionalFormatting>
  <conditionalFormatting sqref="C61">
    <cfRule type="expression" dxfId="170" priority="21">
      <formula>C61="n/a"</formula>
    </cfRule>
    <cfRule type="expression" dxfId="169" priority="22">
      <formula>C61="No"</formula>
    </cfRule>
    <cfRule type="expression" dxfId="168" priority="23">
      <formula>C61="Yes"</formula>
    </cfRule>
  </conditionalFormatting>
  <conditionalFormatting sqref="B61">
    <cfRule type="expression" dxfId="167" priority="18">
      <formula>B61="n/a"</formula>
    </cfRule>
    <cfRule type="expression" dxfId="166" priority="19">
      <formula>B61="No"</formula>
    </cfRule>
    <cfRule type="expression" dxfId="165" priority="20">
      <formula>B61="Yes"</formula>
    </cfRule>
  </conditionalFormatting>
  <conditionalFormatting sqref="D61:F61">
    <cfRule type="expression" dxfId="164" priority="15">
      <formula>D61="n/a"</formula>
    </cfRule>
    <cfRule type="expression" dxfId="163" priority="16">
      <formula>D61="No"</formula>
    </cfRule>
    <cfRule type="expression" dxfId="162" priority="17">
      <formula>D61="Yes"</formula>
    </cfRule>
  </conditionalFormatting>
  <conditionalFormatting sqref="B70">
    <cfRule type="expression" dxfId="161" priority="12">
      <formula>B70="n/a"</formula>
    </cfRule>
    <cfRule type="expression" dxfId="160" priority="13">
      <formula>B70="No"</formula>
    </cfRule>
    <cfRule type="expression" dxfId="159" priority="14">
      <formula>B70="Yes"</formula>
    </cfRule>
  </conditionalFormatting>
  <conditionalFormatting sqref="B91">
    <cfRule type="expression" dxfId="158" priority="9">
      <formula>B91="n/a"</formula>
    </cfRule>
    <cfRule type="expression" dxfId="157" priority="10">
      <formula>B91="No"</formula>
    </cfRule>
    <cfRule type="expression" dxfId="156" priority="11">
      <formula>B91="Yes"</formula>
    </cfRule>
  </conditionalFormatting>
  <conditionalFormatting sqref="B104">
    <cfRule type="expression" dxfId="155" priority="6">
      <formula>B104="n/a"</formula>
    </cfRule>
    <cfRule type="expression" dxfId="154" priority="7">
      <formula>B104="No"</formula>
    </cfRule>
    <cfRule type="expression" dxfId="153" priority="8">
      <formula>B104="Yes"</formula>
    </cfRule>
  </conditionalFormatting>
  <conditionalFormatting sqref="B116">
    <cfRule type="expression" dxfId="152" priority="3">
      <formula>B116="n/a"</formula>
    </cfRule>
    <cfRule type="expression" dxfId="151" priority="4">
      <formula>B116="No"</formula>
    </cfRule>
    <cfRule type="expression" dxfId="150" priority="5">
      <formula>B116="Yes"</formula>
    </cfRule>
  </conditionalFormatting>
  <conditionalFormatting sqref="F75">
    <cfRule type="expression" dxfId="149" priority="2">
      <formula>$E$75&gt;=5%</formula>
    </cfRule>
  </conditionalFormatting>
  <conditionalFormatting sqref="F76">
    <cfRule type="expression" dxfId="148" priority="1">
      <formula>$E$76&gt;0</formula>
    </cfRule>
  </conditionalFormatting>
  <dataValidations count="2">
    <dataValidation type="decimal" allowBlank="1" showInputMessage="1" showErrorMessage="1" errorTitle="Invalid Latitude!" error="You've entered a latitude that is not in Vermont." sqref="D5:F5" xr:uid="{92425512-5391-4F32-8117-7075FFFBAACA}">
      <formula1>42.72</formula1>
      <formula2>45.02</formula2>
    </dataValidation>
    <dataValidation type="decimal" allowBlank="1" showInputMessage="1" showErrorMessage="1" errorTitle="Invalid Longitude" error="You've entered a longitude outside of Vermont.  Longitude values in VT should always be negative." sqref="D6:F6" xr:uid="{F39D1A4D-ABED-4550-B42F-E23B9DE24A61}">
      <formula1>-73.732</formula1>
      <formula2>-71.46</formula2>
    </dataValidation>
  </dataValidations>
  <hyperlinks>
    <hyperlink ref="E8" r:id="rId1" xr:uid="{6ABBC4BF-DBB4-4717-A2E1-1F40365210D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721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721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721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722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722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722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722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722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722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722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722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722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722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723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723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723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723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723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723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723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723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723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723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724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724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D3355EA9-91BA-40C3-A894-23DD5D673194}">
          <x14:formula1>
            <xm:f>Lookup!$G$11:$G$23</xm:f>
          </x14:formula1>
          <xm:sqref>A50:A54 C50:D54</xm:sqref>
        </x14:dataValidation>
        <x14:dataValidation type="list" allowBlank="1" showInputMessage="1" showErrorMessage="1" xr:uid="{4A9ADE81-88E4-4ADB-884C-C9C51378FA72}">
          <x14:formula1>
            <xm:f>Lookup!$G$12:$G$23</xm:f>
          </x14:formula1>
          <xm:sqref>A55</xm:sqref>
        </x14:dataValidation>
        <x14:dataValidation type="list" allowBlank="1" showInputMessage="1" showErrorMessage="1" xr:uid="{AB20F53A-0230-4CB6-BCCA-A6255248ECFF}">
          <x14:formula1>
            <xm:f>Lookup!$H$13:$H$19</xm:f>
          </x14:formula1>
          <xm:sqref>C82:D82 B82:B84</xm:sqref>
        </x14:dataValidation>
        <x14:dataValidation type="list" allowBlank="1" showInputMessage="1" showErrorMessage="1" xr:uid="{1FB09FB9-AC81-4050-99C0-705F6D7618CB}">
          <x14:formula1>
            <xm:f>Lookup!$J$4:$J$8</xm:f>
          </x14:formula1>
          <xm:sqref>E115:F115</xm:sqref>
        </x14:dataValidation>
        <x14:dataValidation type="list" allowBlank="1" showInputMessage="1" showErrorMessage="1" xr:uid="{B34095A7-E505-4FC3-A14B-41E6C9C32D78}">
          <x14:formula1>
            <xm:f>Lookup!$I$4:$I$8</xm:f>
          </x14:formula1>
          <xm:sqref>E103:F103</xm:sqref>
        </x14:dataValidation>
        <x14:dataValidation type="list" allowBlank="1" showInputMessage="1" showErrorMessage="1" xr:uid="{9182FDF3-01D4-4AB3-BBD7-F7C47A0D9B59}">
          <x14:formula1>
            <xm:f>Lookup!$H$4:$H$7</xm:f>
          </x14:formula1>
          <xm:sqref>E90:F90</xm:sqref>
        </x14:dataValidation>
        <x14:dataValidation type="list" allowBlank="1" showInputMessage="1" showErrorMessage="1" xr:uid="{333B92FE-B815-4B72-AD44-942B87B7A890}">
          <x14:formula1>
            <xm:f>Lookup!$G$3:$G$6</xm:f>
          </x14:formula1>
          <xm:sqref>E68:F68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F295-29D4-48DA-B7E5-5ADF3E492352}">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6'!$C$10-0.2*Lookup!$B$13)^2/('SN6'!$C$10+0.8*Lookup!$B$13)))*$B$15+IF($C$10&lt;0.2*Lookup!$B$14,0,(('SN6'!$C$10-0.2*Lookup!$B$14)^2/('SN6'!$C$10+0.8*Lookup!$B$14)))*$B$16+IF($C$10&lt;0.2*Lookup!$B$15,0,(('SN6'!$C$10-0.2*Lookup!$B$15)^2/('SN6'!$C$10+0.8*Lookup!$B$15)))*$B$17++IF($C$10&lt;0.2*Lookup!$B$17,0,(('SN6'!$C$10-0.2*Lookup!$B$17)^2/('SN6'!$C$10+0.8*Lookup!$B$17)))*$B$18+IF($C$10&lt;0.2*Lookup!$C$13,0,(('SN6'!$C$10-0.2*Lookup!$C$13)^2/('SN6'!C$10+0.8*Lookup!$C$13)))*$C$15+IF($C$10&lt;0.2*Lookup!$C$14,0,(('SN6'!$C$10-0.2*Lookup!$C$14)^2/('SN6'!$C$10+0.8*Lookup!$C$14)))*$C$16+IF($C$10&lt;0.2*Lookup!$C$15,0,(('SN6'!$C$10-0.2*Lookup!$C$15)^2/('SN6'!$C$10+0.8*Lookup!$C$15)))*$C$17+IF($C$10&lt;0.2*Lookup!$C$17,0,(('SN6'!$C$10-0.2*Lookup!$C$17)^2/('SN6'!$C$10+0.8*Lookup!$C$17)))*$C$18+IF($C$10&lt;0.2*Lookup!$D$13,0,(('SN6'!$C$10-0.2*Lookup!$D$13)^2/('SN6'!$C$10+0.8*Lookup!$D$13)))*$D$15+IF($C$10&lt;0.2*Lookup!$D$14,0,(('SN6'!$C$10-0.2*Lookup!$D$14)^2/('SN6'!$C$10+0.8*Lookup!$D$14)))*$D$16+IF($C$10&lt;0.2*Lookup!$D$15,0,(('SN6'!$C$10-0.2*Lookup!$D$15)^2/('SN6'!$C$10+0.8*Lookup!$D$15)))*$D$17+IF($C$10&lt;0.2*Lookup!$D$17,0,(('SN6'!$C$10-0.2*Lookup!$D$17)^2/('SN6'!$C$10+0.8*Lookup!$D$17)))*$D$18+IF($C$10&lt;0.2*Lookup!$E$13,0,(('SN6'!$C$10-0.2*Lookup!$E$13)^2/('SN6'!$C$10+0.8*Lookup!$E$13)))*$E$15+IF($C$10&lt;0.2*Lookup!$E$14,0,(('SN6'!$C$10-0.2*Lookup!$E$14)^2/('SN6'!$C$10+0.8*Lookup!$E$14)))*$E$16+IF($C$10&lt;0.2*Lookup!$E$15,0,(('SN6'!$C$10-0.2*Lookup!$E$15)^2/('SN6'!$C$10+0.8*Lookup!$E$15)))*$E$17+IF($C$10&lt;0.2*Lookup!$E$17,0,(('SN6'!$C$10-0.2*Lookup!$E$17)^2/('SN6'!$C$10+0.8*Lookup!$E$17)))*$E$18)/12</f>
        <v>0</v>
      </c>
      <c r="E44" s="257">
        <f>(IF($D$10&lt;0.2*Lookup!$B$13,0,(('SN6'!$D$10-0.2*Lookup!$B$13)^2/('SN6'!$D$10+0.8*Lookup!$B$13)))*$B$15+IF($D$10&lt;0.2*Lookup!$B$14,0,(('SN6'!$D$10-0.2*Lookup!$B$14)^2/('SN6'!$D$10+0.8*Lookup!$B$14)))*$B$16+IF($D$10&lt;0.2*Lookup!$B$15,0,(('SN6'!$D$10-0.2*Lookup!$B$15)^2/('SN6'!$D$10+0.8*Lookup!$B$15)))*$B$17++IF($D$10&lt;0.2*Lookup!$B$17,0,(('SN6'!$D$10-0.2*Lookup!$B$17)^2/('SN6'!$D$10+0.8*Lookup!$B$17)))*$B$18+IF($D$10&lt;0.2*Lookup!$C$13,0,(('SN6'!$D$10-0.2*Lookup!$C$13)^2/('SN6'!C$10+0.8*Lookup!$C$13)))*$C$15+IF($D$10&lt;0.2*Lookup!$C$14,0,(('SN6'!$D$10-0.2*Lookup!$C$14)^2/('SN6'!$D$10+0.8*Lookup!$C$14)))*$C$16+IF($D$10&lt;0.2*Lookup!$C$15,0,(('SN6'!$D$10-0.2*Lookup!$C$15)^2/('SN6'!$D$10+0.8*Lookup!$C$15)))*$C$17+IF($D$10&lt;0.2*Lookup!$C$17,0,(('SN6'!$D$10-0.2*Lookup!$C$17)^2/('SN6'!$D$10+0.8*Lookup!$C$17)))*$C$18+IF($D$10&lt;0.2*Lookup!$D$13,0,(('SN6'!$D$10-0.2*Lookup!$D$13)^2/('SN6'!$D$10+0.8*Lookup!$D$13)))*$D$15+IF($D$10&lt;0.2*Lookup!$D$14,0,(('SN6'!$D$10-0.2*Lookup!$D$14)^2/('SN6'!$D$10+0.8*Lookup!$D$14)))*$D$16+IF($D$10&lt;0.2*Lookup!$D$15,0,(('SN6'!$D$10-0.2*Lookup!$D$15)^2/('SN6'!$D$10+0.8*Lookup!$D$15)))*$D$17+IF($D$10&lt;0.2*Lookup!$D$17,0,(('SN6'!$D$10-0.2*Lookup!$D$17)^2/('SN6'!$D$10+0.8*Lookup!$D$17)))*$D$18+IF($D$10&lt;0.2*Lookup!$E$13,0,(('SN6'!$D$10-0.2*Lookup!$E$13)^2/('SN6'!$D$10+0.8*Lookup!$E$13)))*$E$15+IF($D$10&lt;0.2*Lookup!$E$14,0,(('SN6'!$D$10-0.2*Lookup!$E$14)^2/('SN6'!$D$10+0.8*Lookup!$E$14)))*$E$16+IF($D$10&lt;0.2*Lookup!$E$15,0,(('SN6'!$D$10-0.2*Lookup!$E$15)^2/('SN6'!$D$10+0.8*Lookup!$E$15)))*$E$17++IF($D$10&lt;0.2*Lookup!$E$17,0,(('SN6'!$D$10-0.2*Lookup!$E$17)^2/('SN6'!$D$10+0.8*Lookup!$E$17)))*$E$18)/12</f>
        <v>0</v>
      </c>
      <c r="F44" s="257">
        <f>(IF($E$10&lt;0.2*Lookup!$B$13,0,(('SN6'!$E$10-0.2*Lookup!$B$13)^2/('SN6'!$E$10+0.8*Lookup!$B$13)))*$B$15+IF($E$10&lt;0.2*Lookup!$B$14,0,(('SN6'!$E$10-0.2*Lookup!$B$14)^2/('SN6'!$E$10+0.8*Lookup!$B$14)))*$B$16+IF($E$10&lt;0.2*Lookup!$B$15,0,(('SN6'!$E$10-0.2*Lookup!$B$15)^2/('SN6'!$E$10+0.8*Lookup!$B$15)))*$B$17++IF($E$10&lt;0.2*Lookup!$B$17,0,(('SN6'!$E$10-0.2*Lookup!$B$17)^2/('SN6'!$E$10+0.8*Lookup!$B$17)))*$B$18+IF($E$10&lt;0.2*Lookup!$C$13,0,(('SN6'!$E$10-0.2*Lookup!$C$13)^2/('SN6'!C$10+0.8*Lookup!$C$13)))*$C$15+IF($E$10&lt;0.2*Lookup!$C$14,0,(('SN6'!$E$10-0.2*Lookup!$C$14)^2/('SN6'!$E$10+0.8*Lookup!$C$14)))*$C$16+IF($E$10&lt;0.2*Lookup!$C$15,0,(('SN6'!$E$10-0.2*Lookup!$C$15)^2/('SN6'!$E$10+0.8*Lookup!$C$15)))*$C$17+IF($E$10&lt;0.2*Lookup!$C$17,0,(('SN6'!$E$10-0.2*Lookup!$C$17)^2/('SN6'!$E$10+0.8*Lookup!$C$17)))*$C$18+IF($E$10&lt;0.2*Lookup!$D$13,0,(('SN6'!$E$10-0.2*Lookup!$D$13)^2/('SN6'!$E$10+0.8*Lookup!$D$13)))*$D$15+IF($E$10&lt;0.2*Lookup!$D$14,0,(('SN6'!$E$10-0.2*Lookup!$D$14)^2/('SN6'!$E$10+0.8*Lookup!$D$14)))*$D$16+IF($E$10&lt;0.2*Lookup!$D$15,0,(('SN6'!$E$10-0.2*Lookup!$D$15)^2/('SN6'!$E$10+0.8*Lookup!$D$15)))*$D$17+IF($E$10&lt;0.2*Lookup!$D$17,0,(('SN6'!$E$10-0.2*Lookup!$D$17)^2/('SN6'!$E$10+0.8*Lookup!$D$17)))*$D$18+IF($E$10&lt;0.2*Lookup!$E$13,0,(('SN6'!$E$10-0.2*Lookup!$E$13)^2/('SN6'!$E$10+0.8*Lookup!$E$13)))*$E$15+IF($E$10&lt;0.2*Lookup!$E$14,0,(('SN6'!$E$10-0.2*Lookup!$E$14)^2/('SN6'!$E$10+0.8*Lookup!$E$14)))*$E$16+IF($E$10&lt;0.2*Lookup!$E$15,0,(('SN6'!$E$10-0.2*Lookup!$E$15)^2/('SN6'!$E$10+0.8*Lookup!$E$15)))*$E$17++IF($E$10&lt;0.2*Lookup!$E$17,0,(('SN6'!$E$10-0.2*Lookup!$E$17)^2/('SN6'!$E$10+0.8*Lookup!$E$17)))*$E$18)/12</f>
        <v>0</v>
      </c>
      <c r="G44" s="60"/>
      <c r="K44" s="13"/>
      <c r="L44" s="6"/>
      <c r="M44" s="13"/>
      <c r="N44" s="13"/>
      <c r="O44" s="13"/>
    </row>
    <row r="45" spans="1:15" ht="14.4" customHeight="1" x14ac:dyDescent="0.3">
      <c r="A45" s="383" t="s">
        <v>113</v>
      </c>
      <c r="B45" s="369"/>
      <c r="C45" s="384"/>
      <c r="D45" s="257">
        <f>(IF($C$10&lt;0.2*Lookup!$B$13,0,(('SN6'!$C$10-0.2*Lookup!$B$13)^2/('SN6'!$C$10+0.8*Lookup!$B$13)))*$B$24+IF($C$10&lt;0.2*Lookup!$B$14,0,(('SN6'!$C$10-0.2*Lookup!$B$14)^2/('SN6'!$C$10+0.8*Lookup!$B$14)))*$B$25+IF($C$10&lt;0.2*Lookup!$B$15,0,(('SN6'!$C$10-0.2*Lookup!$B$15)^2/('SN6'!$C$10+0.8*Lookup!$B$15)))*$B$26+IF($C$10&lt;0.2*Lookup!$C$13,0,(('SN6'!$C$10-0.2*Lookup!$C$13)^2/('SN6'!C$10+0.8*Lookup!$C$13)))*$C$24+IF($C$10&lt;0.2*Lookup!$C$14,0,(('SN6'!$C$10-0.2*Lookup!$C$14)^2/('SN6'!$C$10+0.8*Lookup!$C$14)))*$C$25+IF($C$10&lt;0.2*Lookup!$C$15,0,(('SN6'!$C$10-0.2*Lookup!$C$15)^2/('SN6'!$C$10+0.8*Lookup!$C$15)))*$C$26+IF($C$10&lt;0.2*Lookup!$D$13,0,(('SN6'!$C$10-0.2*Lookup!$D$13)^2/('SN6'!$C$10+0.8*Lookup!$D$13)))*$D$24+IF($C$10&lt;0.2*Lookup!$D$14,0,(('SN6'!$C$10-0.2*Lookup!$D$14)^2/('SN6'!$C$10+0.8*Lookup!$D$14)))*$D$25+IF($C$10&lt;0.2*Lookup!$D$15,0,(('SN6'!$C$10-0.2*Lookup!$D$15)^2/('SN6'!$C$10+0.8*Lookup!$D$15)))*$D$26+IF($C$10&lt;0.2*Lookup!$E$13,0,(('SN6'!$C$10-0.2*Lookup!$E$13)^2/('SN6'!$C$10+0.8*Lookup!$E$13)))*$E$24+IF($C$10&lt;0.2*Lookup!$E$14,0,(('SN6'!$C$10-0.2*Lookup!$E$14)^2/('SN6'!$C$10+0.8*Lookup!$E$14)))*$E$25+IF($C$10&lt;0.2*Lookup!$E$15,0,(('SN6'!$C$10-0.2*Lookup!$E$15)^2/('SN6'!$C$10+0.8*Lookup!$E$15)))*$E$26+(($C$10-0.2*Lookup!B17)^2/($C$10+0.8*Lookup!B17)*(F27+F28+F29+F30)))/12</f>
        <v>0</v>
      </c>
      <c r="E45" s="257">
        <f>(IF($D$10&lt;0.2*Lookup!$B$13,0,(('SN6'!$D$10-0.2*Lookup!$B$13)^2/('SN6'!$D$10+0.8*Lookup!$B$13)))*$B$24+IF($D$10&lt;0.2*Lookup!$B$14,0,(('SN6'!$D$10-0.2*Lookup!$B$14)^2/('SN6'!$D$10+0.8*Lookup!$B$14)))*$B$25+IF($D$10&lt;0.2*Lookup!$B$15,0,(('SN6'!$D$10-0.2*Lookup!$B$15)^2/('SN6'!$D$10+0.8*Lookup!$B$15)))*$B$26+IF($D$10&lt;0.2*Lookup!$C$13,0,(('SN6'!$D$10-0.2*Lookup!$C$13)^2/('SN6'!C$10+0.8*Lookup!$C$13)))*$C$24+IF($D$10&lt;0.2*Lookup!$C$14,0,(('SN6'!$D$10-0.2*Lookup!$C$14)^2/('SN6'!$D$10+0.8*Lookup!$C$14)))*$C$25+IF($D$10&lt;0.2*Lookup!$C$15,0,(('SN6'!$D$10-0.2*Lookup!$C$15)^2/('SN6'!$D$10+0.8*Lookup!$C$15)))*$C$26+IF($D$10&lt;0.2*Lookup!$D$13,0,(('SN6'!$D$10-0.2*Lookup!$D$13)^2/('SN6'!$D$10+0.8*Lookup!$D$13)))*$D$24+IF($D$10&lt;0.2*Lookup!$D$14,0,(('SN6'!$D$10-0.2*Lookup!$D$14)^2/('SN6'!$D$10+0.8*Lookup!$D$14)))*$D$25+IF($D$10&lt;0.2*Lookup!$D$15,0,(('SN6'!$D$10-0.2*Lookup!$D$15)^2/('SN6'!$D$10+0.8*Lookup!$D$15)))*$D$26+IF($D$10&lt;0.2*Lookup!$E$13,0,(('SN6'!$D$10-0.2*Lookup!$E$13)^2/('SN6'!$D$10+0.8*Lookup!$E$13)))*$E$24+IF($D$10&lt;0.2*Lookup!$E$14,0,(('SN6'!$D$10-0.2*Lookup!$E$14)^2/('SN6'!$D$10+0.8*Lookup!$E$14)))*$E$25+IF($D$10&lt;0.2*Lookup!$E$15,0,(('SN6'!$D$10-0.2*Lookup!$E$15)^2/('SN6'!$D$10+0.8*Lookup!$E$15)))*$E$26+(($D$10-0.2*Lookup!B17)^2/($D$10+0.8*Lookup!B17)*(F27+F28+F29+F30)))/12</f>
        <v>0</v>
      </c>
      <c r="F45" s="257">
        <f>(IF($E$10&lt;0.2*Lookup!$B$13,0,(('SN6'!$E$10-0.2*Lookup!$B$13)^2/('SN6'!$E$10+0.8*Lookup!$B$13)))*$B$24+IF($E$10&lt;0.2*Lookup!$B$14,0,(('SN6'!$E$10-0.2*Lookup!$B$14)^2/('SN6'!$E$10+0.8*Lookup!$B$14)))*$B$25+IF($E$10&lt;0.2*Lookup!$B$15,0,(('SN6'!$E$10-0.2*Lookup!$B$15)^2/('SN6'!$E$10+0.8*Lookup!$B$15)))*$B$26+IF($E$10&lt;0.2*Lookup!$C$13,0,(('SN6'!$E$10-0.2*Lookup!$C$13)^2/('SN6'!C$10+0.8*Lookup!$C$13)))*$C$24+IF($E$10&lt;0.2*Lookup!$C$14,0,(('SN6'!$E$10-0.2*Lookup!$C$14)^2/('SN6'!$E$10+0.8*Lookup!$C$14)))*$C$25+IF($E$10&lt;0.2*Lookup!$C$15,0,(('SN6'!$E$10-0.2*Lookup!$C$15)^2/('SN6'!$E$10+0.8*Lookup!$C$15)))*$C$26+IF($E$10&lt;0.2*Lookup!$D$13,0,(('SN6'!$E$10-0.2*Lookup!$D$13)^2/('SN6'!$E$10+0.8*Lookup!$D$13)))*$D$24+IF($E$10&lt;0.2*Lookup!$D$14,0,(('SN6'!$E$10-0.2*Lookup!$D$14)^2/('SN6'!$E$10+0.8*Lookup!$D$14)))*$D$25+IF($E$10&lt;0.2*Lookup!$D$15,0,(('SN6'!$E$10-0.2*Lookup!$D$15)^2/('SN6'!$E$10+0.8*Lookup!$D$15)))*$D$26+IF($E$10&lt;0.2*Lookup!$E$13,0,(('SN6'!$E$10-0.2*Lookup!$E$13)^2/('SN6'!$E$10+0.8*Lookup!$E$13)))*$E$24+IF($E$10&lt;0.2*Lookup!$E$14,0,(('SN6'!$E$10-0.2*Lookup!$E$14)^2/('SN6'!$E$10+0.8*Lookup!$E$14)))*$E$25+IF($E$10&lt;0.2*Lookup!$E$15,0,(('SN6'!$E$10-0.2*Lookup!$E$15)^2/('SN6'!$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47" priority="36">
      <formula>$F$67=2</formula>
    </cfRule>
  </conditionalFormatting>
  <conditionalFormatting sqref="E90:F90">
    <cfRule type="expression" dxfId="146" priority="35">
      <formula>$F$89=2</formula>
    </cfRule>
  </conditionalFormatting>
  <conditionalFormatting sqref="E103:F103">
    <cfRule type="expression" dxfId="145" priority="34">
      <formula>$F$102=2</formula>
    </cfRule>
  </conditionalFormatting>
  <conditionalFormatting sqref="E115:F115">
    <cfRule type="expression" dxfId="144" priority="33">
      <formula>$F$114=2</formula>
    </cfRule>
  </conditionalFormatting>
  <conditionalFormatting sqref="B105:F105 D108">
    <cfRule type="expression" dxfId="143" priority="32">
      <formula>$F$102=1</formula>
    </cfRule>
  </conditionalFormatting>
  <conditionalFormatting sqref="D106">
    <cfRule type="expression" dxfId="142" priority="31">
      <formula>$F$102=1</formula>
    </cfRule>
  </conditionalFormatting>
  <conditionalFormatting sqref="B117:F117 D120">
    <cfRule type="expression" dxfId="141" priority="30">
      <formula>$F$114=1</formula>
    </cfRule>
  </conditionalFormatting>
  <conditionalFormatting sqref="B82:D82 B83:B84 E82:E84">
    <cfRule type="expression" dxfId="140" priority="37">
      <formula>$F$79&gt;0</formula>
    </cfRule>
  </conditionalFormatting>
  <conditionalFormatting sqref="E97">
    <cfRule type="expression" dxfId="139" priority="29">
      <formula>$G$94=TRUE</formula>
    </cfRule>
  </conditionalFormatting>
  <conditionalFormatting sqref="D119">
    <cfRule type="expression" dxfId="138" priority="28">
      <formula>$F$114=1</formula>
    </cfRule>
  </conditionalFormatting>
  <conditionalFormatting sqref="D118">
    <cfRule type="expression" dxfId="137" priority="27">
      <formula>$F$114=1</formula>
    </cfRule>
  </conditionalFormatting>
  <conditionalFormatting sqref="D107">
    <cfRule type="expression" dxfId="136" priority="26">
      <formula>$F$102=1</formula>
    </cfRule>
  </conditionalFormatting>
  <conditionalFormatting sqref="C64">
    <cfRule type="expression" dxfId="135" priority="25">
      <formula>$C$64="n/a"</formula>
    </cfRule>
  </conditionalFormatting>
  <conditionalFormatting sqref="B82:E84">
    <cfRule type="expression" dxfId="134" priority="24">
      <formula>$F$79="N/A"</formula>
    </cfRule>
  </conditionalFormatting>
  <conditionalFormatting sqref="C61">
    <cfRule type="expression" dxfId="133" priority="21">
      <formula>C61="n/a"</formula>
    </cfRule>
    <cfRule type="expression" dxfId="132" priority="22">
      <formula>C61="No"</formula>
    </cfRule>
    <cfRule type="expression" dxfId="131" priority="23">
      <formula>C61="Yes"</formula>
    </cfRule>
  </conditionalFormatting>
  <conditionalFormatting sqref="B61">
    <cfRule type="expression" dxfId="130" priority="18">
      <formula>B61="n/a"</formula>
    </cfRule>
    <cfRule type="expression" dxfId="129" priority="19">
      <formula>B61="No"</formula>
    </cfRule>
    <cfRule type="expression" dxfId="128" priority="20">
      <formula>B61="Yes"</formula>
    </cfRule>
  </conditionalFormatting>
  <conditionalFormatting sqref="D61:F61">
    <cfRule type="expression" dxfId="127" priority="15">
      <formula>D61="n/a"</formula>
    </cfRule>
    <cfRule type="expression" dxfId="126" priority="16">
      <formula>D61="No"</formula>
    </cfRule>
    <cfRule type="expression" dxfId="125" priority="17">
      <formula>D61="Yes"</formula>
    </cfRule>
  </conditionalFormatting>
  <conditionalFormatting sqref="B70">
    <cfRule type="expression" dxfId="124" priority="12">
      <formula>B70="n/a"</formula>
    </cfRule>
    <cfRule type="expression" dxfId="123" priority="13">
      <formula>B70="No"</formula>
    </cfRule>
    <cfRule type="expression" dxfId="122" priority="14">
      <formula>B70="Yes"</formula>
    </cfRule>
  </conditionalFormatting>
  <conditionalFormatting sqref="B91">
    <cfRule type="expression" dxfId="121" priority="9">
      <formula>B91="n/a"</formula>
    </cfRule>
    <cfRule type="expression" dxfId="120" priority="10">
      <formula>B91="No"</formula>
    </cfRule>
    <cfRule type="expression" dxfId="119" priority="11">
      <formula>B91="Yes"</formula>
    </cfRule>
  </conditionalFormatting>
  <conditionalFormatting sqref="B104">
    <cfRule type="expression" dxfId="118" priority="6">
      <formula>B104="n/a"</formula>
    </cfRule>
    <cfRule type="expression" dxfId="117" priority="7">
      <formula>B104="No"</formula>
    </cfRule>
    <cfRule type="expression" dxfId="116" priority="8">
      <formula>B104="Yes"</formula>
    </cfRule>
  </conditionalFormatting>
  <conditionalFormatting sqref="B116">
    <cfRule type="expression" dxfId="115" priority="3">
      <formula>B116="n/a"</formula>
    </cfRule>
    <cfRule type="expression" dxfId="114" priority="4">
      <formula>B116="No"</formula>
    </cfRule>
    <cfRule type="expression" dxfId="113" priority="5">
      <formula>B116="Yes"</formula>
    </cfRule>
  </conditionalFormatting>
  <conditionalFormatting sqref="F75">
    <cfRule type="expression" dxfId="112" priority="2">
      <formula>$E$75&gt;=5%</formula>
    </cfRule>
  </conditionalFormatting>
  <conditionalFormatting sqref="F76">
    <cfRule type="expression" dxfId="111" priority="1">
      <formula>$E$76&gt;0</formula>
    </cfRule>
  </conditionalFormatting>
  <dataValidations count="2">
    <dataValidation type="decimal" allowBlank="1" showInputMessage="1" showErrorMessage="1" errorTitle="Invalid Latitude!" error="You've entered a latitude that is not in Vermont." sqref="D5:F5" xr:uid="{45BF5D4B-38DA-4AF5-A06C-AF0F043CA43F}">
      <formula1>42.72</formula1>
      <formula2>45.02</formula2>
    </dataValidation>
    <dataValidation type="decimal" allowBlank="1" showInputMessage="1" showErrorMessage="1" errorTitle="Invalid Longitude" error="You've entered a longitude outside of Vermont.  Longitude values in VT should always be negative." sqref="D6:F6" xr:uid="{FDE73FFD-6DAA-44F1-8842-29748492C6F5}">
      <formula1>-73.732</formula1>
      <formula2>-71.46</formula2>
    </dataValidation>
  </dataValidations>
  <hyperlinks>
    <hyperlink ref="E8" r:id="rId1" xr:uid="{83175246-B5CD-4EA2-8939-8C0DBC5EC3EA}"/>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824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824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824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824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824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824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824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824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824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825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825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825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825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825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825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825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825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825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825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826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826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826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826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826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826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5C9E4692-69D4-4AB6-ADAB-8941C7FBF3C0}">
          <x14:formula1>
            <xm:f>Lookup!$G$11:$G$23</xm:f>
          </x14:formula1>
          <xm:sqref>A50:A54 C50:D54</xm:sqref>
        </x14:dataValidation>
        <x14:dataValidation type="list" allowBlank="1" showInputMessage="1" showErrorMessage="1" xr:uid="{E6DB1622-F157-423A-851F-E3BC1E99DB9F}">
          <x14:formula1>
            <xm:f>Lookup!$G$12:$G$23</xm:f>
          </x14:formula1>
          <xm:sqref>A55</xm:sqref>
        </x14:dataValidation>
        <x14:dataValidation type="list" allowBlank="1" showInputMessage="1" showErrorMessage="1" xr:uid="{09314D32-61BB-444E-813F-553DBC63DE76}">
          <x14:formula1>
            <xm:f>Lookup!$H$13:$H$19</xm:f>
          </x14:formula1>
          <xm:sqref>C82:D82 B82:B84</xm:sqref>
        </x14:dataValidation>
        <x14:dataValidation type="list" allowBlank="1" showInputMessage="1" showErrorMessage="1" xr:uid="{9E826D42-3120-44F4-93F0-DB321EEB1B09}">
          <x14:formula1>
            <xm:f>Lookup!$J$4:$J$8</xm:f>
          </x14:formula1>
          <xm:sqref>E115:F115</xm:sqref>
        </x14:dataValidation>
        <x14:dataValidation type="list" allowBlank="1" showInputMessage="1" showErrorMessage="1" xr:uid="{519B3B8B-3119-4F36-A0B3-709D2C74DC96}">
          <x14:formula1>
            <xm:f>Lookup!$I$4:$I$8</xm:f>
          </x14:formula1>
          <xm:sqref>E103:F103</xm:sqref>
        </x14:dataValidation>
        <x14:dataValidation type="list" allowBlank="1" showInputMessage="1" showErrorMessage="1" xr:uid="{894128D5-FA6F-46D8-96F1-FECE3632110A}">
          <x14:formula1>
            <xm:f>Lookup!$H$4:$H$7</xm:f>
          </x14:formula1>
          <xm:sqref>E90:F90</xm:sqref>
        </x14:dataValidation>
        <x14:dataValidation type="list" allowBlank="1" showInputMessage="1" showErrorMessage="1" xr:uid="{5E6CA1EB-746B-45B4-9DD0-7DC2F1B06EDD}">
          <x14:formula1>
            <xm:f>Lookup!$G$3:$G$6</xm:f>
          </x14:formula1>
          <xm:sqref>E68:F68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C2625-044A-47CB-A287-0B1380BF2DA6}">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4" t="str">
        <f>IF(Summary!C1="","",Summary!C1)</f>
        <v>High Density Residential Example</v>
      </c>
      <c r="E2" s="344"/>
      <c r="F2" s="344"/>
      <c r="G2" s="99"/>
      <c r="H2" s="22"/>
      <c r="I2" s="22"/>
      <c r="J2" s="22"/>
    </row>
    <row r="3" spans="1:15" x14ac:dyDescent="0.3">
      <c r="A3" s="14"/>
      <c r="B3" s="13"/>
      <c r="C3" s="45" t="s">
        <v>30</v>
      </c>
      <c r="D3" s="348"/>
      <c r="E3" s="349"/>
      <c r="F3" s="350"/>
      <c r="G3" s="99"/>
      <c r="H3" s="22"/>
      <c r="I3" s="22"/>
      <c r="J3" s="22"/>
    </row>
    <row r="4" spans="1:15" x14ac:dyDescent="0.3">
      <c r="A4" s="14"/>
      <c r="B4" s="13"/>
      <c r="C4" s="45" t="s">
        <v>31</v>
      </c>
      <c r="D4" s="336"/>
      <c r="E4" s="337"/>
      <c r="F4" s="338"/>
      <c r="G4" s="99"/>
      <c r="H4" s="22"/>
      <c r="I4" s="22"/>
      <c r="J4" s="22"/>
    </row>
    <row r="5" spans="1:15" x14ac:dyDescent="0.3">
      <c r="A5" s="14"/>
      <c r="B5" s="13"/>
      <c r="C5" s="45" t="s">
        <v>172</v>
      </c>
      <c r="D5" s="339"/>
      <c r="E5" s="339"/>
      <c r="F5" s="339"/>
      <c r="G5" s="99"/>
      <c r="H5" s="22"/>
      <c r="I5" s="22"/>
      <c r="J5" s="22"/>
    </row>
    <row r="6" spans="1:15" ht="15.6" customHeight="1" x14ac:dyDescent="0.3">
      <c r="A6" s="14"/>
      <c r="B6" s="13"/>
      <c r="C6" s="46" t="s">
        <v>177</v>
      </c>
      <c r="D6" s="340"/>
      <c r="E6" s="341"/>
      <c r="F6" s="342"/>
      <c r="G6" s="99"/>
      <c r="H6" s="22"/>
      <c r="I6" s="22"/>
      <c r="J6" s="22"/>
    </row>
    <row r="7" spans="1:15" ht="9.6" customHeight="1" x14ac:dyDescent="0.3">
      <c r="A7" s="14"/>
      <c r="B7" s="13"/>
      <c r="C7" s="13"/>
      <c r="D7" s="13"/>
      <c r="E7" s="13"/>
      <c r="F7" s="15"/>
      <c r="G7" s="99"/>
      <c r="H7" s="22"/>
      <c r="I7" s="22"/>
      <c r="J7" s="22"/>
    </row>
    <row r="8" spans="1:15" ht="18" x14ac:dyDescent="0.35">
      <c r="A8" s="91" t="s">
        <v>53</v>
      </c>
      <c r="B8" s="343" t="s">
        <v>40</v>
      </c>
      <c r="C8" s="343"/>
      <c r="D8" s="343"/>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4" t="s">
        <v>58</v>
      </c>
      <c r="B13" s="335"/>
      <c r="C13" s="335"/>
      <c r="D13" s="335"/>
      <c r="E13" s="335"/>
      <c r="F13" s="335"/>
      <c r="G13" s="60"/>
      <c r="K13" s="13"/>
      <c r="L13" s="6"/>
      <c r="M13" s="13"/>
      <c r="N13" s="13"/>
      <c r="O13" s="13"/>
    </row>
    <row r="14" spans="1:15" x14ac:dyDescent="0.3">
      <c r="A14" s="242" t="s">
        <v>8</v>
      </c>
      <c r="B14" s="292" t="s">
        <v>2</v>
      </c>
      <c r="C14" s="292" t="s">
        <v>3</v>
      </c>
      <c r="D14" s="292" t="s">
        <v>4</v>
      </c>
      <c r="E14" s="292" t="s">
        <v>5</v>
      </c>
      <c r="F14" s="287" t="s">
        <v>13</v>
      </c>
      <c r="G14" s="368"/>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8"/>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5" t="str">
        <f>IF(F18=0,IF(F28+F29+F30&gt;0,"Existing and/or redeveloped impervious has been defined in post development. User must define existing impervious in pre development.",""),"")</f>
        <v/>
      </c>
      <c r="B21" s="416"/>
      <c r="C21" s="416"/>
      <c r="D21" s="416"/>
      <c r="E21" s="416"/>
      <c r="F21" s="416"/>
      <c r="G21" s="417"/>
      <c r="H21" s="19"/>
      <c r="I21" s="19"/>
      <c r="J21" s="34"/>
      <c r="K21" s="13"/>
      <c r="L21" s="6"/>
      <c r="M21" s="13"/>
      <c r="N21" s="13"/>
      <c r="O21" s="13"/>
    </row>
    <row r="22" spans="1:15" ht="15.6" x14ac:dyDescent="0.3">
      <c r="A22" s="381" t="s">
        <v>123</v>
      </c>
      <c r="B22" s="382"/>
      <c r="C22" s="382"/>
      <c r="D22" s="382"/>
      <c r="E22" s="382"/>
      <c r="F22" s="382"/>
      <c r="G22" s="254" t="s">
        <v>246</v>
      </c>
      <c r="H22" s="19"/>
      <c r="I22" s="19"/>
      <c r="J22" s="34"/>
      <c r="K22" s="13"/>
      <c r="L22" s="6"/>
      <c r="M22" s="13"/>
      <c r="N22" s="13"/>
      <c r="O22" s="13"/>
    </row>
    <row r="23" spans="1:15" ht="13.8" customHeight="1" x14ac:dyDescent="0.3">
      <c r="A23" s="242" t="s">
        <v>8</v>
      </c>
      <c r="B23" s="292" t="s">
        <v>2</v>
      </c>
      <c r="C23" s="292" t="s">
        <v>3</v>
      </c>
      <c r="D23" s="292" t="s">
        <v>4</v>
      </c>
      <c r="E23" s="292" t="s">
        <v>5</v>
      </c>
      <c r="F23" s="287"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8" t="s">
        <v>248</v>
      </c>
      <c r="C31" s="418"/>
      <c r="D31" s="418"/>
      <c r="E31" s="418"/>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8" t="str">
        <f>IF(F32=F20,"","WARNING: Pre development and post development areas don't match, so evaluation of the Hydrologic Condition Method is not appropriate within this drainage area. Designer may consider HCM across drainage areas.")</f>
        <v/>
      </c>
      <c r="B38" s="389"/>
      <c r="C38" s="389"/>
      <c r="D38" s="389"/>
      <c r="E38" s="389"/>
      <c r="F38" s="389"/>
      <c r="G38" s="390"/>
      <c r="H38" s="1"/>
      <c r="I38" s="33"/>
      <c r="J38" s="33"/>
      <c r="K38" s="13"/>
      <c r="L38" s="6"/>
      <c r="M38" s="13"/>
      <c r="N38" s="13"/>
      <c r="O38" s="13"/>
    </row>
    <row r="39" spans="1:15" ht="43.2" x14ac:dyDescent="0.3">
      <c r="A39" s="391" t="s">
        <v>242</v>
      </c>
      <c r="B39" s="392"/>
      <c r="C39" s="57"/>
      <c r="D39" s="235"/>
      <c r="E39" s="236" t="s">
        <v>219</v>
      </c>
      <c r="F39" s="237" t="s">
        <v>218</v>
      </c>
      <c r="G39" s="58"/>
      <c r="H39" s="1"/>
      <c r="I39" s="33"/>
      <c r="K39" s="13"/>
      <c r="L39" s="6"/>
      <c r="M39" s="13"/>
      <c r="N39" s="13"/>
      <c r="O39" s="13"/>
    </row>
    <row r="40" spans="1:15" ht="14.4" customHeight="1" x14ac:dyDescent="0.3">
      <c r="A40" s="393"/>
      <c r="B40" s="394"/>
      <c r="C40" s="13"/>
      <c r="D40" s="20" t="s">
        <v>216</v>
      </c>
      <c r="E40" s="197">
        <v>0</v>
      </c>
      <c r="F40" s="171">
        <v>0</v>
      </c>
      <c r="G40" s="60"/>
      <c r="H40" s="1"/>
      <c r="I40" s="33"/>
      <c r="J40" s="33"/>
      <c r="K40" s="13"/>
      <c r="L40" s="6"/>
      <c r="M40" s="13"/>
      <c r="N40" s="13"/>
      <c r="O40" s="13"/>
    </row>
    <row r="41" spans="1:15" ht="14.4" customHeight="1" x14ac:dyDescent="0.3">
      <c r="A41" s="393"/>
      <c r="B41" s="394"/>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3" t="s">
        <v>112</v>
      </c>
      <c r="B44" s="369"/>
      <c r="C44" s="384"/>
      <c r="D44" s="257">
        <f>(IF($C$10&lt;0.2*Lookup!$B$13,0,(('SN7'!$C$10-0.2*Lookup!$B$13)^2/('SN7'!$C$10+0.8*Lookup!$B$13)))*$B$15+IF($C$10&lt;0.2*Lookup!$B$14,0,(('SN7'!$C$10-0.2*Lookup!$B$14)^2/('SN7'!$C$10+0.8*Lookup!$B$14)))*$B$16+IF($C$10&lt;0.2*Lookup!$B$15,0,(('SN7'!$C$10-0.2*Lookup!$B$15)^2/('SN7'!$C$10+0.8*Lookup!$B$15)))*$B$17++IF($C$10&lt;0.2*Lookup!$B$17,0,(('SN7'!$C$10-0.2*Lookup!$B$17)^2/('SN7'!$C$10+0.8*Lookup!$B$17)))*$B$18+IF($C$10&lt;0.2*Lookup!$C$13,0,(('SN7'!$C$10-0.2*Lookup!$C$13)^2/('SN7'!C$10+0.8*Lookup!$C$13)))*$C$15+IF($C$10&lt;0.2*Lookup!$C$14,0,(('SN7'!$C$10-0.2*Lookup!$C$14)^2/('SN7'!$C$10+0.8*Lookup!$C$14)))*$C$16+IF($C$10&lt;0.2*Lookup!$C$15,0,(('SN7'!$C$10-0.2*Lookup!$C$15)^2/('SN7'!$C$10+0.8*Lookup!$C$15)))*$C$17+IF($C$10&lt;0.2*Lookup!$C$17,0,(('SN7'!$C$10-0.2*Lookup!$C$17)^2/('SN7'!$C$10+0.8*Lookup!$C$17)))*$C$18+IF($C$10&lt;0.2*Lookup!$D$13,0,(('SN7'!$C$10-0.2*Lookup!$D$13)^2/('SN7'!$C$10+0.8*Lookup!$D$13)))*$D$15+IF($C$10&lt;0.2*Lookup!$D$14,0,(('SN7'!$C$10-0.2*Lookup!$D$14)^2/('SN7'!$C$10+0.8*Lookup!$D$14)))*$D$16+IF($C$10&lt;0.2*Lookup!$D$15,0,(('SN7'!$C$10-0.2*Lookup!$D$15)^2/('SN7'!$C$10+0.8*Lookup!$D$15)))*$D$17+IF($C$10&lt;0.2*Lookup!$D$17,0,(('SN7'!$C$10-0.2*Lookup!$D$17)^2/('SN7'!$C$10+0.8*Lookup!$D$17)))*$D$18+IF($C$10&lt;0.2*Lookup!$E$13,0,(('SN7'!$C$10-0.2*Lookup!$E$13)^2/('SN7'!$C$10+0.8*Lookup!$E$13)))*$E$15+IF($C$10&lt;0.2*Lookup!$E$14,0,(('SN7'!$C$10-0.2*Lookup!$E$14)^2/('SN7'!$C$10+0.8*Lookup!$E$14)))*$E$16+IF($C$10&lt;0.2*Lookup!$E$15,0,(('SN7'!$C$10-0.2*Lookup!$E$15)^2/('SN7'!$C$10+0.8*Lookup!$E$15)))*$E$17+IF($C$10&lt;0.2*Lookup!$E$17,0,(('SN7'!$C$10-0.2*Lookup!$E$17)^2/('SN7'!$C$10+0.8*Lookup!$E$17)))*$E$18)/12</f>
        <v>0</v>
      </c>
      <c r="E44" s="257">
        <f>(IF($D$10&lt;0.2*Lookup!$B$13,0,(('SN7'!$D$10-0.2*Lookup!$B$13)^2/('SN7'!$D$10+0.8*Lookup!$B$13)))*$B$15+IF($D$10&lt;0.2*Lookup!$B$14,0,(('SN7'!$D$10-0.2*Lookup!$B$14)^2/('SN7'!$D$10+0.8*Lookup!$B$14)))*$B$16+IF($D$10&lt;0.2*Lookup!$B$15,0,(('SN7'!$D$10-0.2*Lookup!$B$15)^2/('SN7'!$D$10+0.8*Lookup!$B$15)))*$B$17++IF($D$10&lt;0.2*Lookup!$B$17,0,(('SN7'!$D$10-0.2*Lookup!$B$17)^2/('SN7'!$D$10+0.8*Lookup!$B$17)))*$B$18+IF($D$10&lt;0.2*Lookup!$C$13,0,(('SN7'!$D$10-0.2*Lookup!$C$13)^2/('SN7'!C$10+0.8*Lookup!$C$13)))*$C$15+IF($D$10&lt;0.2*Lookup!$C$14,0,(('SN7'!$D$10-0.2*Lookup!$C$14)^2/('SN7'!$D$10+0.8*Lookup!$C$14)))*$C$16+IF($D$10&lt;0.2*Lookup!$C$15,0,(('SN7'!$D$10-0.2*Lookup!$C$15)^2/('SN7'!$D$10+0.8*Lookup!$C$15)))*$C$17+IF($D$10&lt;0.2*Lookup!$C$17,0,(('SN7'!$D$10-0.2*Lookup!$C$17)^2/('SN7'!$D$10+0.8*Lookup!$C$17)))*$C$18+IF($D$10&lt;0.2*Lookup!$D$13,0,(('SN7'!$D$10-0.2*Lookup!$D$13)^2/('SN7'!$D$10+0.8*Lookup!$D$13)))*$D$15+IF($D$10&lt;0.2*Lookup!$D$14,0,(('SN7'!$D$10-0.2*Lookup!$D$14)^2/('SN7'!$D$10+0.8*Lookup!$D$14)))*$D$16+IF($D$10&lt;0.2*Lookup!$D$15,0,(('SN7'!$D$10-0.2*Lookup!$D$15)^2/('SN7'!$D$10+0.8*Lookup!$D$15)))*$D$17+IF($D$10&lt;0.2*Lookup!$D$17,0,(('SN7'!$D$10-0.2*Lookup!$D$17)^2/('SN7'!$D$10+0.8*Lookup!$D$17)))*$D$18+IF($D$10&lt;0.2*Lookup!$E$13,0,(('SN7'!$D$10-0.2*Lookup!$E$13)^2/('SN7'!$D$10+0.8*Lookup!$E$13)))*$E$15+IF($D$10&lt;0.2*Lookup!$E$14,0,(('SN7'!$D$10-0.2*Lookup!$E$14)^2/('SN7'!$D$10+0.8*Lookup!$E$14)))*$E$16+IF($D$10&lt;0.2*Lookup!$E$15,0,(('SN7'!$D$10-0.2*Lookup!$E$15)^2/('SN7'!$D$10+0.8*Lookup!$E$15)))*$E$17++IF($D$10&lt;0.2*Lookup!$E$17,0,(('SN7'!$D$10-0.2*Lookup!$E$17)^2/('SN7'!$D$10+0.8*Lookup!$E$17)))*$E$18)/12</f>
        <v>0</v>
      </c>
      <c r="F44" s="257">
        <f>(IF($E$10&lt;0.2*Lookup!$B$13,0,(('SN7'!$E$10-0.2*Lookup!$B$13)^2/('SN7'!$E$10+0.8*Lookup!$B$13)))*$B$15+IF($E$10&lt;0.2*Lookup!$B$14,0,(('SN7'!$E$10-0.2*Lookup!$B$14)^2/('SN7'!$E$10+0.8*Lookup!$B$14)))*$B$16+IF($E$10&lt;0.2*Lookup!$B$15,0,(('SN7'!$E$10-0.2*Lookup!$B$15)^2/('SN7'!$E$10+0.8*Lookup!$B$15)))*$B$17++IF($E$10&lt;0.2*Lookup!$B$17,0,(('SN7'!$E$10-0.2*Lookup!$B$17)^2/('SN7'!$E$10+0.8*Lookup!$B$17)))*$B$18+IF($E$10&lt;0.2*Lookup!$C$13,0,(('SN7'!$E$10-0.2*Lookup!$C$13)^2/('SN7'!C$10+0.8*Lookup!$C$13)))*$C$15+IF($E$10&lt;0.2*Lookup!$C$14,0,(('SN7'!$E$10-0.2*Lookup!$C$14)^2/('SN7'!$E$10+0.8*Lookup!$C$14)))*$C$16+IF($E$10&lt;0.2*Lookup!$C$15,0,(('SN7'!$E$10-0.2*Lookup!$C$15)^2/('SN7'!$E$10+0.8*Lookup!$C$15)))*$C$17+IF($E$10&lt;0.2*Lookup!$C$17,0,(('SN7'!$E$10-0.2*Lookup!$C$17)^2/('SN7'!$E$10+0.8*Lookup!$C$17)))*$C$18+IF($E$10&lt;0.2*Lookup!$D$13,0,(('SN7'!$E$10-0.2*Lookup!$D$13)^2/('SN7'!$E$10+0.8*Lookup!$D$13)))*$D$15+IF($E$10&lt;0.2*Lookup!$D$14,0,(('SN7'!$E$10-0.2*Lookup!$D$14)^2/('SN7'!$E$10+0.8*Lookup!$D$14)))*$D$16+IF($E$10&lt;0.2*Lookup!$D$15,0,(('SN7'!$E$10-0.2*Lookup!$D$15)^2/('SN7'!$E$10+0.8*Lookup!$D$15)))*$D$17+IF($E$10&lt;0.2*Lookup!$D$17,0,(('SN7'!$E$10-0.2*Lookup!$D$17)^2/('SN7'!$E$10+0.8*Lookup!$D$17)))*$D$18+IF($E$10&lt;0.2*Lookup!$E$13,0,(('SN7'!$E$10-0.2*Lookup!$E$13)^2/('SN7'!$E$10+0.8*Lookup!$E$13)))*$E$15+IF($E$10&lt;0.2*Lookup!$E$14,0,(('SN7'!$E$10-0.2*Lookup!$E$14)^2/('SN7'!$E$10+0.8*Lookup!$E$14)))*$E$16+IF($E$10&lt;0.2*Lookup!$E$15,0,(('SN7'!$E$10-0.2*Lookup!$E$15)^2/('SN7'!$E$10+0.8*Lookup!$E$15)))*$E$17++IF($E$10&lt;0.2*Lookup!$E$17,0,(('SN7'!$E$10-0.2*Lookup!$E$17)^2/('SN7'!$E$10+0.8*Lookup!$E$17)))*$E$18)/12</f>
        <v>0</v>
      </c>
      <c r="G44" s="60"/>
      <c r="K44" s="13"/>
      <c r="L44" s="6"/>
      <c r="M44" s="13"/>
      <c r="N44" s="13"/>
      <c r="O44" s="13"/>
    </row>
    <row r="45" spans="1:15" ht="14.4" customHeight="1" x14ac:dyDescent="0.3">
      <c r="A45" s="383" t="s">
        <v>113</v>
      </c>
      <c r="B45" s="369"/>
      <c r="C45" s="384"/>
      <c r="D45" s="257">
        <f>(IF($C$10&lt;0.2*Lookup!$B$13,0,(('SN7'!$C$10-0.2*Lookup!$B$13)^2/('SN7'!$C$10+0.8*Lookup!$B$13)))*$B$24+IF($C$10&lt;0.2*Lookup!$B$14,0,(('SN7'!$C$10-0.2*Lookup!$B$14)^2/('SN7'!$C$10+0.8*Lookup!$B$14)))*$B$25+IF($C$10&lt;0.2*Lookup!$B$15,0,(('SN7'!$C$10-0.2*Lookup!$B$15)^2/('SN7'!$C$10+0.8*Lookup!$B$15)))*$B$26+IF($C$10&lt;0.2*Lookup!$C$13,0,(('SN7'!$C$10-0.2*Lookup!$C$13)^2/('SN7'!C$10+0.8*Lookup!$C$13)))*$C$24+IF($C$10&lt;0.2*Lookup!$C$14,0,(('SN7'!$C$10-0.2*Lookup!$C$14)^2/('SN7'!$C$10+0.8*Lookup!$C$14)))*$C$25+IF($C$10&lt;0.2*Lookup!$C$15,0,(('SN7'!$C$10-0.2*Lookup!$C$15)^2/('SN7'!$C$10+0.8*Lookup!$C$15)))*$C$26+IF($C$10&lt;0.2*Lookup!$D$13,0,(('SN7'!$C$10-0.2*Lookup!$D$13)^2/('SN7'!$C$10+0.8*Lookup!$D$13)))*$D$24+IF($C$10&lt;0.2*Lookup!$D$14,0,(('SN7'!$C$10-0.2*Lookup!$D$14)^2/('SN7'!$C$10+0.8*Lookup!$D$14)))*$D$25+IF($C$10&lt;0.2*Lookup!$D$15,0,(('SN7'!$C$10-0.2*Lookup!$D$15)^2/('SN7'!$C$10+0.8*Lookup!$D$15)))*$D$26+IF($C$10&lt;0.2*Lookup!$E$13,0,(('SN7'!$C$10-0.2*Lookup!$E$13)^2/('SN7'!$C$10+0.8*Lookup!$E$13)))*$E$24+IF($C$10&lt;0.2*Lookup!$E$14,0,(('SN7'!$C$10-0.2*Lookup!$E$14)^2/('SN7'!$C$10+0.8*Lookup!$E$14)))*$E$25+IF($C$10&lt;0.2*Lookup!$E$15,0,(('SN7'!$C$10-0.2*Lookup!$E$15)^2/('SN7'!$C$10+0.8*Lookup!$E$15)))*$E$26+(($C$10-0.2*Lookup!B17)^2/($C$10+0.8*Lookup!B17)*(F27+F28+F29+F30)))/12</f>
        <v>0</v>
      </c>
      <c r="E45" s="257">
        <f>(IF($D$10&lt;0.2*Lookup!$B$13,0,(('SN7'!$D$10-0.2*Lookup!$B$13)^2/('SN7'!$D$10+0.8*Lookup!$B$13)))*$B$24+IF($D$10&lt;0.2*Lookup!$B$14,0,(('SN7'!$D$10-0.2*Lookup!$B$14)^2/('SN7'!$D$10+0.8*Lookup!$B$14)))*$B$25+IF($D$10&lt;0.2*Lookup!$B$15,0,(('SN7'!$D$10-0.2*Lookup!$B$15)^2/('SN7'!$D$10+0.8*Lookup!$B$15)))*$B$26+IF($D$10&lt;0.2*Lookup!$C$13,0,(('SN7'!$D$10-0.2*Lookup!$C$13)^2/('SN7'!C$10+0.8*Lookup!$C$13)))*$C$24+IF($D$10&lt;0.2*Lookup!$C$14,0,(('SN7'!$D$10-0.2*Lookup!$C$14)^2/('SN7'!$D$10+0.8*Lookup!$C$14)))*$C$25+IF($D$10&lt;0.2*Lookup!$C$15,0,(('SN7'!$D$10-0.2*Lookup!$C$15)^2/('SN7'!$D$10+0.8*Lookup!$C$15)))*$C$26+IF($D$10&lt;0.2*Lookup!$D$13,0,(('SN7'!$D$10-0.2*Lookup!$D$13)^2/('SN7'!$D$10+0.8*Lookup!$D$13)))*$D$24+IF($D$10&lt;0.2*Lookup!$D$14,0,(('SN7'!$D$10-0.2*Lookup!$D$14)^2/('SN7'!$D$10+0.8*Lookup!$D$14)))*$D$25+IF($D$10&lt;0.2*Lookup!$D$15,0,(('SN7'!$D$10-0.2*Lookup!$D$15)^2/('SN7'!$D$10+0.8*Lookup!$D$15)))*$D$26+IF($D$10&lt;0.2*Lookup!$E$13,0,(('SN7'!$D$10-0.2*Lookup!$E$13)^2/('SN7'!$D$10+0.8*Lookup!$E$13)))*$E$24+IF($D$10&lt;0.2*Lookup!$E$14,0,(('SN7'!$D$10-0.2*Lookup!$E$14)^2/('SN7'!$D$10+0.8*Lookup!$E$14)))*$E$25+IF($D$10&lt;0.2*Lookup!$E$15,0,(('SN7'!$D$10-0.2*Lookup!$E$15)^2/('SN7'!$D$10+0.8*Lookup!$E$15)))*$E$26+(($D$10-0.2*Lookup!B17)^2/($D$10+0.8*Lookup!B17)*(F27+F28+F29+F30)))/12</f>
        <v>0</v>
      </c>
      <c r="F45" s="257">
        <f>(IF($E$10&lt;0.2*Lookup!$B$13,0,(('SN7'!$E$10-0.2*Lookup!$B$13)^2/('SN7'!$E$10+0.8*Lookup!$B$13)))*$B$24+IF($E$10&lt;0.2*Lookup!$B$14,0,(('SN7'!$E$10-0.2*Lookup!$B$14)^2/('SN7'!$E$10+0.8*Lookup!$B$14)))*$B$25+IF($E$10&lt;0.2*Lookup!$B$15,0,(('SN7'!$E$10-0.2*Lookup!$B$15)^2/('SN7'!$E$10+0.8*Lookup!$B$15)))*$B$26+IF($E$10&lt;0.2*Lookup!$C$13,0,(('SN7'!$E$10-0.2*Lookup!$C$13)^2/('SN7'!C$10+0.8*Lookup!$C$13)))*$C$24+IF($E$10&lt;0.2*Lookup!$C$14,0,(('SN7'!$E$10-0.2*Lookup!$C$14)^2/('SN7'!$E$10+0.8*Lookup!$C$14)))*$C$25+IF($E$10&lt;0.2*Lookup!$C$15,0,(('SN7'!$E$10-0.2*Lookup!$C$15)^2/('SN7'!$E$10+0.8*Lookup!$C$15)))*$C$26+IF($E$10&lt;0.2*Lookup!$D$13,0,(('SN7'!$E$10-0.2*Lookup!$D$13)^2/('SN7'!$E$10+0.8*Lookup!$D$13)))*$D$24+IF($E$10&lt;0.2*Lookup!$D$14,0,(('SN7'!$E$10-0.2*Lookup!$D$14)^2/('SN7'!$E$10+0.8*Lookup!$D$14)))*$D$25+IF($E$10&lt;0.2*Lookup!$D$15,0,(('SN7'!$E$10-0.2*Lookup!$D$15)^2/('SN7'!$E$10+0.8*Lookup!$D$15)))*$D$26+IF($E$10&lt;0.2*Lookup!$E$13,0,(('SN7'!$E$10-0.2*Lookup!$E$13)^2/('SN7'!$E$10+0.8*Lookup!$E$13)))*$E$24+IF($E$10&lt;0.2*Lookup!$E$14,0,(('SN7'!$E$10-0.2*Lookup!$E$14)^2/('SN7'!$E$10+0.8*Lookup!$E$14)))*$E$25+IF($E$10&lt;0.2*Lookup!$E$15,0,(('SN7'!$E$10-0.2*Lookup!$E$15)^2/('SN7'!$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8" t="s">
        <v>214</v>
      </c>
      <c r="B48" s="379"/>
      <c r="C48" s="379"/>
      <c r="D48" s="379"/>
      <c r="E48" s="379"/>
      <c r="F48" s="379"/>
      <c r="G48" s="380"/>
      <c r="K48" s="13"/>
      <c r="L48" s="6"/>
      <c r="M48" s="13"/>
      <c r="N48" s="13"/>
      <c r="O48" s="13"/>
    </row>
    <row r="49" spans="1:15" ht="15.6" x14ac:dyDescent="0.35">
      <c r="A49" s="88" t="s">
        <v>71</v>
      </c>
      <c r="B49" s="117" t="s">
        <v>166</v>
      </c>
      <c r="C49" s="395" t="s">
        <v>71</v>
      </c>
      <c r="D49" s="396"/>
      <c r="E49" s="42" t="s">
        <v>166</v>
      </c>
      <c r="F49" s="19"/>
      <c r="G49" s="60"/>
      <c r="K49" s="13"/>
      <c r="L49" s="6"/>
      <c r="M49" s="13"/>
      <c r="N49" s="13"/>
      <c r="O49" s="13"/>
    </row>
    <row r="50" spans="1:15" x14ac:dyDescent="0.3">
      <c r="A50" s="194"/>
      <c r="B50" s="172"/>
      <c r="C50" s="385"/>
      <c r="D50" s="386"/>
      <c r="E50" s="173"/>
      <c r="F50" s="13"/>
      <c r="G50" s="60"/>
      <c r="I50" s="113"/>
      <c r="J50" s="113"/>
      <c r="K50" s="113"/>
      <c r="L50" s="6"/>
      <c r="M50" s="13"/>
      <c r="N50" s="13"/>
      <c r="O50" s="13"/>
    </row>
    <row r="51" spans="1:15" x14ac:dyDescent="0.3">
      <c r="A51" s="194"/>
      <c r="B51" s="172"/>
      <c r="C51" s="385"/>
      <c r="D51" s="386"/>
      <c r="E51" s="173"/>
      <c r="F51" s="13"/>
      <c r="G51" s="60"/>
      <c r="I51" s="113"/>
      <c r="J51" s="113"/>
      <c r="K51" s="113"/>
      <c r="L51" s="6"/>
      <c r="M51" s="13"/>
      <c r="N51" s="13"/>
      <c r="O51" s="13"/>
    </row>
    <row r="52" spans="1:15" x14ac:dyDescent="0.3">
      <c r="A52" s="194"/>
      <c r="B52" s="172"/>
      <c r="C52" s="385"/>
      <c r="D52" s="386"/>
      <c r="E52" s="173"/>
      <c r="F52" s="13"/>
      <c r="G52" s="60"/>
      <c r="I52" s="113"/>
      <c r="J52" s="113"/>
      <c r="K52" s="113"/>
      <c r="L52" s="6"/>
      <c r="M52" s="13"/>
      <c r="N52" s="13"/>
      <c r="O52" s="13"/>
    </row>
    <row r="53" spans="1:15" x14ac:dyDescent="0.3">
      <c r="A53" s="194"/>
      <c r="B53" s="172"/>
      <c r="C53" s="385"/>
      <c r="D53" s="386"/>
      <c r="E53" s="173"/>
      <c r="F53" s="19"/>
      <c r="G53" s="60"/>
      <c r="K53" s="13"/>
      <c r="L53" s="6"/>
      <c r="M53" s="13"/>
      <c r="N53" s="13"/>
      <c r="O53" s="13"/>
    </row>
    <row r="54" spans="1:15" x14ac:dyDescent="0.3">
      <c r="A54" s="194"/>
      <c r="B54" s="172"/>
      <c r="C54" s="385"/>
      <c r="D54" s="386"/>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69" t="str">
        <f>IF(F67=1,"","Reason recharge not required (if No is selected):")</f>
        <v/>
      </c>
      <c r="D68" s="369"/>
      <c r="E68" s="370"/>
      <c r="F68" s="370"/>
      <c r="G68" s="60"/>
      <c r="K68" s="24"/>
      <c r="L68" s="6"/>
      <c r="M68" s="13"/>
      <c r="N68" s="13"/>
      <c r="O68" s="13"/>
    </row>
    <row r="69" spans="1:15" ht="15.6" x14ac:dyDescent="0.3">
      <c r="A69" s="59" t="s">
        <v>117</v>
      </c>
      <c r="B69" s="257">
        <f>((B27+B28)*Lookup!B21+(C27+C28)*Lookup!C21+(D27+D28)*Lookup!D21+(E27+E28)*Lookup!E21*(F27+F28))/12</f>
        <v>0</v>
      </c>
      <c r="C69" s="290"/>
      <c r="D69" s="290"/>
      <c r="E69" s="181"/>
      <c r="F69" s="181"/>
      <c r="G69" s="60"/>
      <c r="K69" s="24"/>
      <c r="L69" s="6"/>
      <c r="M69" s="13"/>
      <c r="N69" s="13"/>
      <c r="O69" s="13"/>
    </row>
    <row r="70" spans="1:15" ht="42.6" customHeight="1" x14ac:dyDescent="0.3">
      <c r="A70" s="291" t="s">
        <v>110</v>
      </c>
      <c r="B70" s="27" t="str">
        <f>B61</f>
        <v>n/a</v>
      </c>
      <c r="C70" s="371" t="str">
        <f>IF(B70="No",IF(F67=1,"NOTE: Treatment provided is insufficient to meet the recharge standard within this drainage area.  Add more infiltrating practices unless recharge is being met site-wide. (check summary tab)","Standard not applicable."),"")</f>
        <v/>
      </c>
      <c r="D70" s="372"/>
      <c r="E70" s="372"/>
      <c r="F70" s="372"/>
      <c r="G70" s="373"/>
      <c r="K70" s="24"/>
      <c r="L70" s="13"/>
      <c r="M70" s="13"/>
      <c r="N70" s="13"/>
      <c r="O70" s="13"/>
    </row>
    <row r="71" spans="1:15" ht="101.4" customHeight="1" thickBot="1" x14ac:dyDescent="0.35">
      <c r="A71" s="221" t="s">
        <v>167</v>
      </c>
      <c r="B71" s="345"/>
      <c r="C71" s="345"/>
      <c r="D71" s="345"/>
      <c r="E71" s="345"/>
      <c r="F71" s="345"/>
      <c r="G71" s="346"/>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4" t="s">
        <v>235</v>
      </c>
      <c r="D75" s="405"/>
      <c r="E75" s="75">
        <f>G35</f>
        <v>0</v>
      </c>
      <c r="G75" s="60"/>
      <c r="K75" s="24"/>
      <c r="L75" s="6"/>
      <c r="M75" s="13"/>
      <c r="N75" s="13"/>
      <c r="O75" s="13"/>
    </row>
    <row r="76" spans="1:15" ht="30" customHeight="1" x14ac:dyDescent="0.3">
      <c r="A76" s="61" t="s">
        <v>222</v>
      </c>
      <c r="B76" s="257">
        <f>IF(F30=0,0,IF(F73=2,IF(E76&gt;25%,0,(0.05+0.9*G30)*1*F32/12*(50%-2*E76)),(0.05+0.9*G30)*1*F32/12*0.5))</f>
        <v>0</v>
      </c>
      <c r="C76" s="406" t="s">
        <v>234</v>
      </c>
      <c r="D76" s="407"/>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8" t="str">
        <f>IF(E73+F73=4,"ERROR! Net Reduction and Redevelopment cannot both apply","")</f>
        <v/>
      </c>
      <c r="D77" s="409"/>
      <c r="E77" s="409"/>
      <c r="F77" s="409"/>
      <c r="G77" s="410"/>
      <c r="K77" s="24"/>
      <c r="L77" s="13"/>
      <c r="M77" s="13"/>
      <c r="N77" s="13"/>
      <c r="O77" s="13"/>
    </row>
    <row r="78" spans="1:15" ht="30" x14ac:dyDescent="0.3">
      <c r="A78" s="291" t="s">
        <v>204</v>
      </c>
      <c r="B78" s="295">
        <f ca="1">IF(C59&gt;C58,C58,C59)</f>
        <v>0</v>
      </c>
      <c r="C78" s="63"/>
      <c r="D78" s="403" t="s">
        <v>209</v>
      </c>
      <c r="E78" s="403"/>
      <c r="F78" s="184"/>
      <c r="G78" s="185">
        <v>1</v>
      </c>
      <c r="K78" s="24"/>
      <c r="L78" s="13"/>
      <c r="M78" s="13"/>
      <c r="N78" s="13"/>
      <c r="O78" s="13"/>
    </row>
    <row r="79" spans="1:15" ht="30.6" customHeight="1" x14ac:dyDescent="0.3">
      <c r="A79" s="223" t="s">
        <v>149</v>
      </c>
      <c r="B79" s="295">
        <f ca="1">IF(G78=2,"N/A",IF(B77-B78&lt;0,0,B77-B78))</f>
        <v>0</v>
      </c>
      <c r="C79" s="63"/>
      <c r="D79" s="222"/>
      <c r="E79" s="222"/>
      <c r="F79" s="13"/>
      <c r="G79" s="64"/>
      <c r="K79" s="24"/>
      <c r="L79" s="13"/>
      <c r="M79" s="13"/>
      <c r="N79" s="13"/>
      <c r="O79" s="13"/>
    </row>
    <row r="80" spans="1:15" ht="10.8" customHeight="1" x14ac:dyDescent="0.3">
      <c r="A80" s="291"/>
      <c r="B80" s="13"/>
      <c r="C80" s="63"/>
      <c r="D80" s="13"/>
      <c r="E80" s="13"/>
      <c r="F80" s="13"/>
      <c r="G80" s="60"/>
      <c r="K80" s="13"/>
      <c r="L80" s="6"/>
      <c r="M80" s="13"/>
      <c r="N80" s="13"/>
      <c r="O80" s="13"/>
    </row>
    <row r="81" spans="1:15" ht="28.8" customHeight="1" x14ac:dyDescent="0.3">
      <c r="A81" s="387" t="str">
        <f>IF(B82="","","NOTE: Please include a copy of the appropriate STP worksheet(s) with the application.")</f>
        <v/>
      </c>
      <c r="B81" s="375" t="s">
        <v>160</v>
      </c>
      <c r="C81" s="376"/>
      <c r="D81" s="377"/>
      <c r="E81" s="287" t="s">
        <v>147</v>
      </c>
      <c r="F81" s="292" t="s">
        <v>138</v>
      </c>
      <c r="G81" s="60"/>
      <c r="K81" s="13"/>
      <c r="L81" s="6"/>
      <c r="M81" s="13"/>
      <c r="N81" s="13"/>
      <c r="O81" s="13"/>
    </row>
    <row r="82" spans="1:15" x14ac:dyDescent="0.3">
      <c r="A82" s="387"/>
      <c r="B82" s="374"/>
      <c r="C82" s="374"/>
      <c r="D82" s="374"/>
      <c r="E82" s="297"/>
      <c r="F82" s="108" t="str">
        <f>IF(B82="","",VLOOKUP(B82,Lookup!$H$13:$I$19,2,FALSE))</f>
        <v/>
      </c>
      <c r="G82" s="60"/>
    </row>
    <row r="83" spans="1:15" x14ac:dyDescent="0.3">
      <c r="A83" s="387"/>
      <c r="B83" s="374"/>
      <c r="C83" s="374"/>
      <c r="D83" s="374"/>
      <c r="E83" s="297"/>
      <c r="F83" s="108" t="str">
        <f>IF(B83="","",VLOOKUP(B83,Lookup!$H$13:$I$19,2,FALSE))</f>
        <v/>
      </c>
      <c r="G83" s="60"/>
    </row>
    <row r="84" spans="1:15" x14ac:dyDescent="0.3">
      <c r="A84" s="387"/>
      <c r="B84" s="374"/>
      <c r="C84" s="374"/>
      <c r="D84" s="374"/>
      <c r="E84" s="297"/>
      <c r="F84" s="108" t="str">
        <f>IF(B84="","",VLOOKUP(B84,Lookup!$H$13:$I$19,2,FALSE))</f>
        <v/>
      </c>
      <c r="G84" s="60"/>
    </row>
    <row r="85" spans="1:15" ht="15.6" x14ac:dyDescent="0.35">
      <c r="A85" s="118"/>
      <c r="B85" s="19"/>
      <c r="C85" s="19"/>
      <c r="D85" s="1" t="s">
        <v>153</v>
      </c>
      <c r="E85" s="296">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0" t="str">
        <f ca="1">IF(E86="No","NOTE:  Add more water quality practices unless site balancing is being used. (Check summary tab)","")</f>
        <v/>
      </c>
      <c r="B87" s="401"/>
      <c r="C87" s="401"/>
      <c r="D87" s="401"/>
      <c r="E87" s="401"/>
      <c r="F87" s="401"/>
      <c r="G87" s="402"/>
    </row>
    <row r="88" spans="1:15" ht="51.6" customHeight="1" thickBot="1" x14ac:dyDescent="0.35">
      <c r="A88" s="238" t="s">
        <v>168</v>
      </c>
      <c r="B88" s="347"/>
      <c r="C88" s="347"/>
      <c r="D88" s="347"/>
      <c r="E88" s="347"/>
      <c r="F88" s="347"/>
      <c r="G88" s="347"/>
    </row>
    <row r="89" spans="1:15" ht="15.6" x14ac:dyDescent="0.3">
      <c r="A89" s="56" t="s">
        <v>96</v>
      </c>
      <c r="B89" s="57"/>
      <c r="C89" s="57"/>
      <c r="D89" s="57"/>
      <c r="E89" s="177">
        <v>1</v>
      </c>
      <c r="F89" s="177">
        <v>1</v>
      </c>
      <c r="G89" s="58"/>
    </row>
    <row r="90" spans="1:15" ht="29.4" customHeight="1" x14ac:dyDescent="0.3">
      <c r="A90" s="59" t="s">
        <v>77</v>
      </c>
      <c r="B90" s="125"/>
      <c r="C90" s="356" t="str">
        <f>IF(F89=2,"Waiver (if No is selected):","")</f>
        <v/>
      </c>
      <c r="D90" s="356"/>
      <c r="E90" s="357"/>
      <c r="F90" s="357"/>
      <c r="G90" s="60"/>
      <c r="M90" s="41"/>
    </row>
    <row r="91" spans="1:15" s="49" customFormat="1" ht="37.200000000000003" customHeight="1" x14ac:dyDescent="0.3">
      <c r="A91" s="59" t="s">
        <v>80</v>
      </c>
      <c r="B91" s="27" t="str">
        <f>D61</f>
        <v>Yes</v>
      </c>
      <c r="C91" s="397"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8"/>
      <c r="E91" s="398"/>
      <c r="F91" s="398"/>
      <c r="G91" s="399"/>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88" t="s">
        <v>93</v>
      </c>
      <c r="E93" s="425" t="str">
        <f>IF(E89=1,"12 hours of extended detention","24 hours of extended detention")</f>
        <v>12 hours of extended detention</v>
      </c>
      <c r="F93" s="425"/>
      <c r="G93" s="60"/>
    </row>
    <row r="94" spans="1:15" ht="15" customHeight="1" x14ac:dyDescent="0.3">
      <c r="A94" s="411" t="str">
        <f>HYPERLINK("http://dec.vermont.gov/sites/dec/files/documents/wsmd_water_quality_standards_2016.pdf", "See the Vermont Water Quality Standards for warm and cold water designations")</f>
        <v>See the Vermont Water Quality Standards for warm and cold water designations</v>
      </c>
      <c r="B94" s="412"/>
      <c r="C94" s="412"/>
      <c r="D94" s="13"/>
      <c r="E94" s="420" t="s">
        <v>150</v>
      </c>
      <c r="F94" s="420"/>
      <c r="G94" s="178" t="b">
        <v>0</v>
      </c>
    </row>
    <row r="95" spans="1:15" ht="14.4" customHeight="1" x14ac:dyDescent="0.3">
      <c r="A95" s="411"/>
      <c r="B95" s="412"/>
      <c r="C95" s="412"/>
      <c r="D95" s="13"/>
      <c r="E95" s="421" t="s">
        <v>182</v>
      </c>
      <c r="F95" s="421"/>
      <c r="G95" s="422"/>
    </row>
    <row r="96" spans="1:15" x14ac:dyDescent="0.3">
      <c r="A96" s="293"/>
      <c r="B96" s="294"/>
      <c r="C96" s="13"/>
      <c r="D96" s="13"/>
      <c r="E96" s="421"/>
      <c r="F96" s="421"/>
      <c r="G96" s="422"/>
    </row>
    <row r="97" spans="1:7" x14ac:dyDescent="0.3">
      <c r="A97" s="66" t="s">
        <v>151</v>
      </c>
      <c r="B97" s="354"/>
      <c r="C97" s="355"/>
      <c r="D97" s="13"/>
      <c r="E97" s="182"/>
      <c r="F97" s="423" t="str">
        <f>IF(G94=TRUE,"detention time (hrs)","")</f>
        <v/>
      </c>
      <c r="G97" s="424"/>
    </row>
    <row r="98" spans="1:7" ht="11.4" customHeight="1" x14ac:dyDescent="0.3">
      <c r="A98" s="66"/>
      <c r="B98" s="55"/>
      <c r="C98" s="55"/>
      <c r="D98" s="13"/>
      <c r="E98" s="13"/>
      <c r="F98" s="13"/>
      <c r="G98" s="60"/>
    </row>
    <row r="99" spans="1:7" ht="45.6" customHeight="1" x14ac:dyDescent="0.3">
      <c r="A99" s="364" t="s">
        <v>210</v>
      </c>
      <c r="B99" s="365"/>
      <c r="C99" s="365"/>
      <c r="D99" s="365"/>
      <c r="E99" s="365"/>
      <c r="F99" s="365"/>
      <c r="G99" s="366"/>
    </row>
    <row r="100" spans="1:7" s="49" customFormat="1" ht="31.2" customHeight="1" x14ac:dyDescent="0.3">
      <c r="A100" s="59" t="s">
        <v>91</v>
      </c>
      <c r="B100" s="128" t="str">
        <f>D64</f>
        <v>n/a</v>
      </c>
      <c r="C100" s="358" t="s">
        <v>223</v>
      </c>
      <c r="D100" s="359"/>
      <c r="E100" s="129">
        <f>IF(E41=0,0,(F41^0.8)*(((1000/IF(B100&gt;95,95,IF(B100&lt;50,50,B100)))-9)^0.7)/(1140*E41^0.5)*60)</f>
        <v>0</v>
      </c>
      <c r="F100" s="73" t="s">
        <v>102</v>
      </c>
      <c r="G100" s="64"/>
    </row>
    <row r="101" spans="1:7" ht="49.2" customHeight="1" thickBot="1" x14ac:dyDescent="0.35">
      <c r="A101" s="221" t="s">
        <v>169</v>
      </c>
      <c r="B101" s="351"/>
      <c r="C101" s="352"/>
      <c r="D101" s="352"/>
      <c r="E101" s="352"/>
      <c r="F101" s="352"/>
      <c r="G101" s="353"/>
    </row>
    <row r="102" spans="1:7" ht="18" x14ac:dyDescent="0.4">
      <c r="A102" s="56" t="s">
        <v>97</v>
      </c>
      <c r="B102" s="57"/>
      <c r="C102" s="57"/>
      <c r="D102" s="57"/>
      <c r="E102" s="57"/>
      <c r="F102" s="177">
        <v>1</v>
      </c>
      <c r="G102" s="58"/>
    </row>
    <row r="103" spans="1:7" ht="29.4" customHeight="1" x14ac:dyDescent="0.3">
      <c r="A103" s="59" t="s">
        <v>77</v>
      </c>
      <c r="B103" s="127"/>
      <c r="C103" s="356" t="str">
        <f>IF(F102=1,"","Waiver (if No is selected):")</f>
        <v/>
      </c>
      <c r="D103" s="356"/>
      <c r="E103" s="357"/>
      <c r="F103" s="357"/>
      <c r="G103" s="60"/>
    </row>
    <row r="104" spans="1:7" ht="43.2" customHeight="1" x14ac:dyDescent="0.3">
      <c r="A104" s="59" t="s">
        <v>80</v>
      </c>
      <c r="B104" s="27" t="str">
        <f>E61</f>
        <v>Yes</v>
      </c>
      <c r="C104" s="397"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8"/>
      <c r="E104" s="398"/>
      <c r="F104" s="398"/>
      <c r="G104" s="399"/>
    </row>
    <row r="105" spans="1:7" x14ac:dyDescent="0.3">
      <c r="A105" s="68" t="s">
        <v>104</v>
      </c>
      <c r="B105" s="419"/>
      <c r="C105" s="419"/>
      <c r="D105" s="419"/>
      <c r="E105" s="419"/>
      <c r="F105" s="419"/>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4" t="s">
        <v>211</v>
      </c>
      <c r="B110" s="365"/>
      <c r="C110" s="365"/>
      <c r="D110" s="365"/>
      <c r="E110" s="365"/>
      <c r="F110" s="365"/>
      <c r="G110" s="366"/>
    </row>
    <row r="111" spans="1:7" ht="28.8" customHeight="1" x14ac:dyDescent="0.3">
      <c r="A111" s="193" t="s">
        <v>224</v>
      </c>
      <c r="B111" s="71" t="str">
        <f>E65</f>
        <v>n/a</v>
      </c>
      <c r="C111" s="360" t="s">
        <v>225</v>
      </c>
      <c r="D111" s="361"/>
      <c r="E111" s="72">
        <f>IF(E40=0,0,(F40^0.8)*(((1000/IF(B111&gt;95,95,IF(B111&lt;50,50,B111)))-9)^0.7)/(1140*E40^0.5)*60)</f>
        <v>0</v>
      </c>
      <c r="F111" s="413" t="s">
        <v>102</v>
      </c>
      <c r="G111" s="289"/>
    </row>
    <row r="112" spans="1:7" ht="28.8" customHeight="1" x14ac:dyDescent="0.3">
      <c r="A112" s="59" t="s">
        <v>91</v>
      </c>
      <c r="B112" s="71" t="str">
        <f>E64</f>
        <v>n/a</v>
      </c>
      <c r="C112" s="358" t="s">
        <v>223</v>
      </c>
      <c r="D112" s="359"/>
      <c r="E112" s="72">
        <f>IF(E41=0,0,(F41^0.8)*(((1000/IF(B112&gt;95,95,IF(B112&lt;50,50,B112)))-9)^0.7)/(1140*E41^0.5)*60)</f>
        <v>0</v>
      </c>
      <c r="F112" s="414"/>
      <c r="G112" s="64"/>
    </row>
    <row r="113" spans="1:7" ht="57.6" customHeight="1" thickBot="1" x14ac:dyDescent="0.35">
      <c r="A113" s="124" t="s">
        <v>170</v>
      </c>
      <c r="B113" s="351"/>
      <c r="C113" s="352"/>
      <c r="D113" s="352"/>
      <c r="E113" s="352"/>
      <c r="F113" s="352"/>
      <c r="G113" s="353"/>
    </row>
    <row r="114" spans="1:7" ht="18" x14ac:dyDescent="0.4">
      <c r="A114" s="56" t="s">
        <v>108</v>
      </c>
      <c r="B114" s="57"/>
      <c r="C114" s="57"/>
      <c r="D114" s="57"/>
      <c r="E114" s="57"/>
      <c r="F114" s="177">
        <v>1</v>
      </c>
      <c r="G114" s="58"/>
    </row>
    <row r="115" spans="1:7" ht="28.8" customHeight="1" x14ac:dyDescent="0.3">
      <c r="A115" s="59" t="s">
        <v>77</v>
      </c>
      <c r="B115" s="126"/>
      <c r="C115" s="356" t="str">
        <f>IF(F114=1,"","Waiver (if No is selected):")</f>
        <v/>
      </c>
      <c r="D115" s="356"/>
      <c r="E115" s="357"/>
      <c r="F115" s="357"/>
      <c r="G115" s="60"/>
    </row>
    <row r="116" spans="1:7" ht="43.2" customHeight="1" x14ac:dyDescent="0.3">
      <c r="A116" s="59" t="s">
        <v>80</v>
      </c>
      <c r="B116" s="27" t="str">
        <f>F61</f>
        <v>Yes</v>
      </c>
      <c r="C116" s="397"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8"/>
      <c r="E116" s="398"/>
      <c r="F116" s="398"/>
      <c r="G116" s="399"/>
    </row>
    <row r="117" spans="1:7" x14ac:dyDescent="0.3">
      <c r="A117" s="68" t="s">
        <v>104</v>
      </c>
      <c r="B117" s="367"/>
      <c r="C117" s="367"/>
      <c r="D117" s="367"/>
      <c r="E117" s="367"/>
      <c r="F117" s="367"/>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4" t="s">
        <v>215</v>
      </c>
      <c r="B122" s="365"/>
      <c r="C122" s="365"/>
      <c r="D122" s="365"/>
      <c r="E122" s="365"/>
      <c r="F122" s="365"/>
      <c r="G122" s="366"/>
    </row>
    <row r="123" spans="1:7" ht="32.4" customHeight="1" x14ac:dyDescent="0.3">
      <c r="A123" s="193" t="s">
        <v>224</v>
      </c>
      <c r="B123" s="71" t="str">
        <f>F65</f>
        <v>n/a</v>
      </c>
      <c r="C123" s="360" t="s">
        <v>225</v>
      </c>
      <c r="D123" s="361"/>
      <c r="E123" s="72">
        <f>IF(E40=0,0,(F40^0.8)*(((1000/IF(B123&gt;95,95,IF(B123&lt;50,50,B123)))-9)^0.7)/(1140*E40^0.5)*60)</f>
        <v>0</v>
      </c>
      <c r="F123" s="362" t="s">
        <v>102</v>
      </c>
      <c r="G123" s="289"/>
    </row>
    <row r="124" spans="1:7" ht="28.8" customHeight="1" x14ac:dyDescent="0.3">
      <c r="A124" s="59" t="s">
        <v>91</v>
      </c>
      <c r="B124" s="71" t="str">
        <f>F64</f>
        <v>n/a</v>
      </c>
      <c r="C124" s="358" t="s">
        <v>223</v>
      </c>
      <c r="D124" s="359"/>
      <c r="E124" s="72">
        <f>IF(E41=0,0,(F41^0.8)*(((1000/IF(B124&gt;95,95,IF(B124&lt;50,50,B124)))-9)^0.7)/(1140*E41^0.5)*60)</f>
        <v>0</v>
      </c>
      <c r="F124" s="363"/>
      <c r="G124" s="64"/>
    </row>
    <row r="125" spans="1:7" ht="57.6" customHeight="1" thickBot="1" x14ac:dyDescent="0.35">
      <c r="A125" s="124" t="s">
        <v>171</v>
      </c>
      <c r="B125" s="351"/>
      <c r="C125" s="352"/>
      <c r="D125" s="352"/>
      <c r="E125" s="352"/>
      <c r="F125" s="352"/>
      <c r="G125" s="353"/>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10" priority="36">
      <formula>$F$67=2</formula>
    </cfRule>
  </conditionalFormatting>
  <conditionalFormatting sqref="E90:F90">
    <cfRule type="expression" dxfId="109" priority="35">
      <formula>$F$89=2</formula>
    </cfRule>
  </conditionalFormatting>
  <conditionalFormatting sqref="E103:F103">
    <cfRule type="expression" dxfId="108" priority="34">
      <formula>$F$102=2</formula>
    </cfRule>
  </conditionalFormatting>
  <conditionalFormatting sqref="E115:F115">
    <cfRule type="expression" dxfId="107" priority="33">
      <formula>$F$114=2</formula>
    </cfRule>
  </conditionalFormatting>
  <conditionalFormatting sqref="B105:F105 D108">
    <cfRule type="expression" dxfId="106" priority="32">
      <formula>$F$102=1</formula>
    </cfRule>
  </conditionalFormatting>
  <conditionalFormatting sqref="D106">
    <cfRule type="expression" dxfId="105" priority="31">
      <formula>$F$102=1</formula>
    </cfRule>
  </conditionalFormatting>
  <conditionalFormatting sqref="B117:F117 D120">
    <cfRule type="expression" dxfId="104" priority="30">
      <formula>$F$114=1</formula>
    </cfRule>
  </conditionalFormatting>
  <conditionalFormatting sqref="B82:D82 B83:B84 E82:E84">
    <cfRule type="expression" dxfId="103" priority="37">
      <formula>$F$79&gt;0</formula>
    </cfRule>
  </conditionalFormatting>
  <conditionalFormatting sqref="E97">
    <cfRule type="expression" dxfId="102" priority="29">
      <formula>$G$94=TRUE</formula>
    </cfRule>
  </conditionalFormatting>
  <conditionalFormatting sqref="D119">
    <cfRule type="expression" dxfId="101" priority="28">
      <formula>$F$114=1</formula>
    </cfRule>
  </conditionalFormatting>
  <conditionalFormatting sqref="D118">
    <cfRule type="expression" dxfId="100" priority="27">
      <formula>$F$114=1</formula>
    </cfRule>
  </conditionalFormatting>
  <conditionalFormatting sqref="D107">
    <cfRule type="expression" dxfId="99" priority="26">
      <formula>$F$102=1</formula>
    </cfRule>
  </conditionalFormatting>
  <conditionalFormatting sqref="C64">
    <cfRule type="expression" dxfId="98" priority="25">
      <formula>$C$64="n/a"</formula>
    </cfRule>
  </conditionalFormatting>
  <conditionalFormatting sqref="B82:E84">
    <cfRule type="expression" dxfId="97" priority="24">
      <formula>$F$79="N/A"</formula>
    </cfRule>
  </conditionalFormatting>
  <conditionalFormatting sqref="C61">
    <cfRule type="expression" dxfId="96" priority="21">
      <formula>C61="n/a"</formula>
    </cfRule>
    <cfRule type="expression" dxfId="95" priority="22">
      <formula>C61="No"</formula>
    </cfRule>
    <cfRule type="expression" dxfId="94" priority="23">
      <formula>C61="Yes"</formula>
    </cfRule>
  </conditionalFormatting>
  <conditionalFormatting sqref="B61">
    <cfRule type="expression" dxfId="93" priority="18">
      <formula>B61="n/a"</formula>
    </cfRule>
    <cfRule type="expression" dxfId="92" priority="19">
      <formula>B61="No"</formula>
    </cfRule>
    <cfRule type="expression" dxfId="91" priority="20">
      <formula>B61="Yes"</formula>
    </cfRule>
  </conditionalFormatting>
  <conditionalFormatting sqref="D61:F61">
    <cfRule type="expression" dxfId="90" priority="15">
      <formula>D61="n/a"</formula>
    </cfRule>
    <cfRule type="expression" dxfId="89" priority="16">
      <formula>D61="No"</formula>
    </cfRule>
    <cfRule type="expression" dxfId="88" priority="17">
      <formula>D61="Yes"</formula>
    </cfRule>
  </conditionalFormatting>
  <conditionalFormatting sqref="B70">
    <cfRule type="expression" dxfId="87" priority="12">
      <formula>B70="n/a"</formula>
    </cfRule>
    <cfRule type="expression" dxfId="86" priority="13">
      <formula>B70="No"</formula>
    </cfRule>
    <cfRule type="expression" dxfId="85" priority="14">
      <formula>B70="Yes"</formula>
    </cfRule>
  </conditionalFormatting>
  <conditionalFormatting sqref="B91">
    <cfRule type="expression" dxfId="84" priority="9">
      <formula>B91="n/a"</formula>
    </cfRule>
    <cfRule type="expression" dxfId="83" priority="10">
      <formula>B91="No"</formula>
    </cfRule>
    <cfRule type="expression" dxfId="82" priority="11">
      <formula>B91="Yes"</formula>
    </cfRule>
  </conditionalFormatting>
  <conditionalFormatting sqref="B104">
    <cfRule type="expression" dxfId="81" priority="6">
      <formula>B104="n/a"</formula>
    </cfRule>
    <cfRule type="expression" dxfId="80" priority="7">
      <formula>B104="No"</formula>
    </cfRule>
    <cfRule type="expression" dxfId="79" priority="8">
      <formula>B104="Yes"</formula>
    </cfRule>
  </conditionalFormatting>
  <conditionalFormatting sqref="B116">
    <cfRule type="expression" dxfId="78" priority="3">
      <formula>B116="n/a"</formula>
    </cfRule>
    <cfRule type="expression" dxfId="77" priority="4">
      <formula>B116="No"</formula>
    </cfRule>
    <cfRule type="expression" dxfId="76" priority="5">
      <formula>B116="Yes"</formula>
    </cfRule>
  </conditionalFormatting>
  <conditionalFormatting sqref="F75">
    <cfRule type="expression" dxfId="75" priority="2">
      <formula>$E$75&gt;=5%</formula>
    </cfRule>
  </conditionalFormatting>
  <conditionalFormatting sqref="F76">
    <cfRule type="expression" dxfId="74" priority="1">
      <formula>$E$76&gt;0</formula>
    </cfRule>
  </conditionalFormatting>
  <dataValidations count="2">
    <dataValidation type="decimal" allowBlank="1" showInputMessage="1" showErrorMessage="1" errorTitle="Invalid Latitude!" error="You've entered a latitude that is not in Vermont." sqref="D5:F5" xr:uid="{2ED39A49-258A-474E-80FA-641C9EFB136D}">
      <formula1>42.72</formula1>
      <formula2>45.02</formula2>
    </dataValidation>
    <dataValidation type="decimal" allowBlank="1" showInputMessage="1" showErrorMessage="1" errorTitle="Invalid Longitude" error="You've entered a longitude outside of Vermont.  Longitude values in VT should always be negative." sqref="D6:F6" xr:uid="{B6011BC4-DF5A-4545-8255-223A3F0C15EC}">
      <formula1>-73.732</formula1>
      <formula2>-71.46</formula2>
    </dataValidation>
  </dataValidations>
  <hyperlinks>
    <hyperlink ref="E8" r:id="rId1" xr:uid="{8BCC05A6-A529-4C6D-B5DB-32067292F6E7}"/>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926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926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926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926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926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927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927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927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927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927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927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927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927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927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927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928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928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928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928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928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928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928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928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928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928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B168F660-0085-4467-A515-CF0DD307A220}">
          <x14:formula1>
            <xm:f>Lookup!$G$11:$G$23</xm:f>
          </x14:formula1>
          <xm:sqref>A50:A54 C50:D54</xm:sqref>
        </x14:dataValidation>
        <x14:dataValidation type="list" allowBlank="1" showInputMessage="1" showErrorMessage="1" xr:uid="{499A8ED3-EE79-45A1-88E2-EFAF7E5F42EB}">
          <x14:formula1>
            <xm:f>Lookup!$G$12:$G$23</xm:f>
          </x14:formula1>
          <xm:sqref>A55</xm:sqref>
        </x14:dataValidation>
        <x14:dataValidation type="list" allowBlank="1" showInputMessage="1" showErrorMessage="1" xr:uid="{69CA1AD8-E864-4100-9922-E5414343A052}">
          <x14:formula1>
            <xm:f>Lookup!$H$13:$H$19</xm:f>
          </x14:formula1>
          <xm:sqref>C82:D82 B82:B84</xm:sqref>
        </x14:dataValidation>
        <x14:dataValidation type="list" allowBlank="1" showInputMessage="1" showErrorMessage="1" xr:uid="{0BE815E5-5D49-4518-8BFA-3A63538266BB}">
          <x14:formula1>
            <xm:f>Lookup!$J$4:$J$8</xm:f>
          </x14:formula1>
          <xm:sqref>E115:F115</xm:sqref>
        </x14:dataValidation>
        <x14:dataValidation type="list" allowBlank="1" showInputMessage="1" showErrorMessage="1" xr:uid="{ADD64D61-3613-4D40-8B31-380D50D1422C}">
          <x14:formula1>
            <xm:f>Lookup!$I$4:$I$8</xm:f>
          </x14:formula1>
          <xm:sqref>E103:F103</xm:sqref>
        </x14:dataValidation>
        <x14:dataValidation type="list" allowBlank="1" showInputMessage="1" showErrorMessage="1" xr:uid="{1C41745D-4F12-435A-A281-DDBEFB4C0FF1}">
          <x14:formula1>
            <xm:f>Lookup!$H$4:$H$7</xm:f>
          </x14:formula1>
          <xm:sqref>E90:F90</xm:sqref>
        </x14:dataValidation>
        <x14:dataValidation type="list" allowBlank="1" showInputMessage="1" showErrorMessage="1" xr:uid="{135902BB-23A3-4A1B-881D-5ABF383B298E}">
          <x14:formula1>
            <xm:f>Lookup!$G$3:$G$6</xm:f>
          </x14:formula1>
          <xm:sqref>E68:F68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Summary</vt:lpstr>
      <vt:lpstr>SN1</vt:lpstr>
      <vt:lpstr>SN2</vt:lpstr>
      <vt:lpstr>SN3</vt:lpstr>
      <vt:lpstr>SN4</vt:lpstr>
      <vt:lpstr>SN5</vt:lpstr>
      <vt:lpstr>SN6</vt:lpstr>
      <vt:lpstr>SN7</vt:lpstr>
      <vt:lpstr>SN8</vt:lpstr>
      <vt:lpstr>SN9</vt:lpstr>
      <vt:lpstr>Lookup</vt:lpstr>
      <vt:lpstr>New</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Schelley</dc:creator>
  <cp:lastModifiedBy>Schelley, Emily</cp:lastModifiedBy>
  <cp:lastPrinted>2017-11-17T16:19:42Z</cp:lastPrinted>
  <dcterms:created xsi:type="dcterms:W3CDTF">2015-10-07T18:43:40Z</dcterms:created>
  <dcterms:modified xsi:type="dcterms:W3CDTF">2017-12-07T21:02:51Z</dcterms:modified>
</cp:coreProperties>
</file>